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b89f26078625da96/Dokumenter/SuMaNu/wps/wp3/p-article/"/>
    </mc:Choice>
  </mc:AlternateContent>
  <xr:revisionPtr revIDLastSave="43" documentId="8_{692A83DE-4E66-4867-A9BB-B39A035C3EC2}" xr6:coauthVersionLast="45" xr6:coauthVersionMax="45" xr10:uidLastSave="{32D031F2-EDF0-46F1-A663-6DC13500BC01}"/>
  <workbookProtection workbookAlgorithmName="SHA-512" workbookHashValue="fvKEg/olNgrJ6BfwihCwwnpO5kBDM6t91gLZraDxsCdZg7yWuyEXvjYNpUvU8VeLOMG/Bho0fea82ewXpak8CQ==" workbookSaltValue="RME3do8Q4ne+DhbIFeBeVw==" workbookSpinCount="100000" lockStructure="1"/>
  <bookViews>
    <workbookView xWindow="-110" yWindow="-110" windowWidth="19420" windowHeight="11020" xr2:uid="{60A34D13-8404-4D6F-ACD4-3FB0E3BDCF6D}"/>
  </bookViews>
  <sheets>
    <sheet name="CNP flows interactive mode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 i="3" l="1"/>
  <c r="AB8" i="3"/>
  <c r="AB6" i="3"/>
  <c r="AB7" i="3" l="1"/>
  <c r="BT21" i="3" l="1"/>
  <c r="AV7" i="3" s="1"/>
  <c r="BS24" i="3" l="1"/>
  <c r="BS35" i="3"/>
  <c r="C24" i="3" s="1"/>
  <c r="BS34" i="3"/>
  <c r="C23" i="3"/>
  <c r="D33" i="3" l="1"/>
  <c r="AA32" i="3"/>
  <c r="AZ27" i="3"/>
  <c r="BS30" i="3"/>
  <c r="BH19" i="3"/>
  <c r="D31" i="3"/>
  <c r="V3" i="3"/>
  <c r="BS9" i="3"/>
  <c r="S19" i="3" s="1"/>
  <c r="BD13" i="3"/>
  <c r="BW9" i="3"/>
  <c r="BU9" i="3"/>
  <c r="BT9" i="3"/>
  <c r="I8" i="3" s="1"/>
  <c r="D32" i="3"/>
  <c r="BS11" i="3" l="1"/>
  <c r="I7" i="3"/>
  <c r="BS33" i="3"/>
  <c r="BS26" i="3"/>
  <c r="BD12" i="3" s="1"/>
  <c r="BU30" i="3"/>
  <c r="BT30" i="3"/>
  <c r="BV24" i="3"/>
  <c r="AZ30" i="3" s="1"/>
  <c r="AZ29" i="3"/>
  <c r="AZ28" i="3"/>
  <c r="S20" i="3"/>
  <c r="BT11" i="3"/>
  <c r="BV9" i="3"/>
  <c r="S22" i="3" s="1"/>
  <c r="C12" i="3" l="1"/>
  <c r="BS36" i="3"/>
  <c r="BS16" i="3"/>
  <c r="BS19" i="3" s="1"/>
  <c r="BT16" i="3"/>
  <c r="BT33" i="3"/>
  <c r="BT36" i="3" s="1"/>
  <c r="AA34" i="3"/>
  <c r="BU33" i="3"/>
  <c r="C14" i="3" s="1"/>
  <c r="S21" i="3"/>
  <c r="BU11" i="3"/>
  <c r="AA33" i="3"/>
  <c r="AC16" i="3" l="1"/>
  <c r="AL5" i="3"/>
  <c r="BS40" i="3" s="1"/>
  <c r="BV11" i="3"/>
  <c r="BU16" i="3"/>
  <c r="BV16" i="3" s="1"/>
  <c r="BU36" i="3"/>
  <c r="BV36" i="3" s="1"/>
  <c r="C13" i="3"/>
  <c r="BD33" i="3"/>
  <c r="BS38" i="3" s="1"/>
  <c r="AV5" i="3"/>
  <c r="AN18" i="3"/>
  <c r="V5" i="3" l="1"/>
  <c r="AC18" i="3" l="1"/>
  <c r="BU19" i="3"/>
  <c r="V4" i="3"/>
  <c r="BU28" i="3" l="1"/>
  <c r="BH21" i="3" s="1"/>
  <c r="BU38" i="3" s="1"/>
  <c r="AL6" i="3"/>
  <c r="BT19" i="3"/>
  <c r="AV6" i="3" s="1"/>
  <c r="AN20" i="3"/>
  <c r="BU22" i="3"/>
  <c r="BD36" i="3" s="1"/>
  <c r="AC19" i="3"/>
  <c r="AC17" i="3"/>
  <c r="BT28" i="3" l="1"/>
  <c r="BD35" i="3" s="1"/>
  <c r="BU39" i="3"/>
  <c r="BT39" i="3"/>
  <c r="AN19" i="3"/>
  <c r="BV19" i="3"/>
  <c r="AN21" i="3" s="1"/>
  <c r="BH20" i="3" l="1"/>
  <c r="BT3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tc={CF73EE4F-DBED-437C-B504-35279D74021D}</author>
    <author>tc={591ABF96-A48C-4BEC-9EEF-4B5A739C740B}</author>
    <author>tc={78E87616-440F-45E1-B82D-0DE43794E08C}</author>
    <author>tc={BA834EDE-B2CB-414D-8029-C49FE30FBB96}</author>
    <author>tc={E3FAD360-4517-4558-A7D0-782752B78F62}</author>
    <author>tc={EB860B66-C38E-4D1C-9B70-B6ED2AE0DC5B}</author>
    <author>tc={6511880B-38EA-4405-87C0-36C8CD0F05C1}</author>
    <author>tc={B0F1FB4E-B78E-4046-92F7-DAA5808DD77E}</author>
  </authors>
  <commentList>
    <comment ref="BT21" authorId="0" shapeId="0" xr:uid="{CF73EE4F-DBED-437C-B504-35279D74021D}">
      <text>
        <t>[Trådet kommentar]
Din version af Excel lader dig læse denne trådede kommentar. Eventuelle ændringer vil dog blive fjernet, hvis filen åbnes i en nyere version af Excel. Få mere at vide: https://go.microsoft.com/fwlink/?linkid=870924
Kommentar:
    Default value according Biernat et al. (2020), assuming average for a conventional farm</t>
      </text>
    </comment>
    <comment ref="BS24" authorId="1" shapeId="0" xr:uid="{591ABF96-A48C-4BEC-9EEF-4B5A739C740B}">
      <text>
        <t>[Trådet kommentar]
Din version af Excel lader dig læse denne trådede kommentar. Eventuelle ændringer vil dog blive fjernet, hvis filen åbnes i en nyere version af Excel. Få mere at vide: https://go.microsoft.com/fwlink/?linkid=870924
Kommentar:
    Default calculation based on a grain yield of 8.3 ton per ha with a C content of 40% (Kumar et al. 2014), a straw yield of 8.3 ton per ha * 1,67 and a C content of 37%, and that alone 10% of the straw is removed from the field / harvested for bedding and feed.</t>
      </text>
    </comment>
    <comment ref="BS34" authorId="2" shapeId="0" xr:uid="{78E87616-440F-45E1-B82D-0DE43794E08C}">
      <text>
        <t>[Trådet kommentar]
Din version af Excel lader dig læse denne trådede kommentar. Eventuelle ændringer vil dog blive fjernet, hvis filen åbnes i en nyere version af Excel. Få mere at vide: https://go.microsoft.com/fwlink/?linkid=870924
Kommentar:
    Default value based on Madsen (2015): Assuming the case of dairy cows and that other livestock has the same respiration losses, converted to m3, multiplied with the density of CO2 for conversion to kg, multiplied with the mol weight share of C in CO2, and divided with 1000 to convert to ton</t>
      </text>
    </comment>
    <comment ref="BS35" authorId="3" shapeId="0" xr:uid="{BA834EDE-B2CB-414D-8029-C49FE30FBB96}">
      <text>
        <t>[Trådet kommentar]
Din version af Excel lader dig læse denne trådede kommentar. Eventuelle ændringer vil dog blive fjernet, hvis filen åbnes i en nyere version af Excel. Få mere at vide: https://go.microsoft.com/fwlink/?linkid=870924
Kommentar:
    The default value is assumig a dairy cow produce 500 litres of CH4 per day, which with a density of 0,657 kg/m3 is converted to ton per year and multiplied with the mol weight share of C in methane. Finally is  multiplied with the share of a dairy cow in the example calculation.</t>
      </text>
    </comment>
    <comment ref="BR38" authorId="4" shapeId="0" xr:uid="{E3FAD360-4517-4558-A7D0-782752B78F62}">
      <text>
        <t>[Trådet kommentar]
Din version af Excel lader dig læse denne trådede kommentar. Eventuelle ændringer vil dog blive fjernet, hvis filen åbnes i en nyere version af Excel. Få mere at vide: https://go.microsoft.com/fwlink/?linkid=870924
Kommentar:
    The principle of the calculation is that all that is tangible and traded over the farm gate is considered, and the calculation will show the losses/emissions. For C the calculation is also considering photosynthesis and sequestration as a result of farm management.</t>
      </text>
    </comment>
    <comment ref="BR39" authorId="5" shapeId="0" xr:uid="{EB860B66-C38E-4D1C-9B70-B6ED2AE0DC5B}">
      <text>
        <t>[Trådet kommentar]
Din version af Excel lader dig læse denne trådede kommentar. Eventuelle ændringer vil dog blive fjernet, hvis filen åbnes i en nyere version af Excel. Få mere at vide: https://go.microsoft.com/fwlink/?linkid=870924
Kommentar:
    The principle of the calculation is that it shows the percentage of the value for crop uptage in relation to the original value ex animal</t>
      </text>
    </comment>
    <comment ref="BR40" authorId="6" shapeId="0" xr:uid="{6511880B-38EA-4405-87C0-36C8CD0F05C1}">
      <text>
        <t>[Trådet kommentar]
Din version af Excel lader dig læse denne trådede kommentar. Eventuelle ændringer vil dog blive fjernet, hvis filen åbnes i en nyere version af Excel. Få mere at vide: https://go.microsoft.com/fwlink/?linkid=870924
Kommentar:
    GHG emissions are cases where C is emitted, and it is re-calculated by use of Global Warming Effect factors.</t>
      </text>
    </comment>
    <comment ref="BS40" authorId="7" shapeId="0" xr:uid="{B0F1FB4E-B78E-4046-92F7-DAA5808DD77E}">
      <text>
        <t>[Trådet kommentar]
Din version af Excel lader dig læse denne trådede kommentar. Eventuelle ændringer vil dog blive fjernet, hvis filen åbnes i en nyere version af Excel. Få mere at vide: https://go.microsoft.com/fwlink/?linkid=870924
Kommentar:
    For conversion to CO2e is assumed Global Warming Potential factors 25 for methane and 265 for laughing gas. Approximate mol weights are used for conversion from C to CO2e. Densities for the gases CO2, CH4 and N2O of 1,98, 0,657 and 1,22, respectively, are used.</t>
      </text>
    </comment>
  </commentList>
</comments>
</file>

<file path=xl/sharedStrings.xml><?xml version="1.0" encoding="utf-8"?>
<sst xmlns="http://schemas.openxmlformats.org/spreadsheetml/2006/main" count="135" uniqueCount="87">
  <si>
    <t>Storage &amp; processing</t>
  </si>
  <si>
    <t/>
  </si>
  <si>
    <t>kg N</t>
  </si>
  <si>
    <t>kg P</t>
  </si>
  <si>
    <t>Ex animal</t>
  </si>
  <si>
    <t>Ex storage</t>
  </si>
  <si>
    <t>Animal products</t>
  </si>
  <si>
    <t>N:P ratio</t>
  </si>
  <si>
    <t>Imported / bought feed</t>
  </si>
  <si>
    <t>% housing loss</t>
  </si>
  <si>
    <t>Ex housing</t>
  </si>
  <si>
    <t>% storage loss</t>
  </si>
  <si>
    <t>Kg N</t>
  </si>
  <si>
    <t>Kg P</t>
  </si>
  <si>
    <t>Harvest</t>
  </si>
  <si>
    <t>Bought feed</t>
  </si>
  <si>
    <t>N:P</t>
  </si>
  <si>
    <t>Housing &amp; feeding</t>
  </si>
  <si>
    <t>% field loss air</t>
  </si>
  <si>
    <t>% field loss soil/water</t>
  </si>
  <si>
    <t>Units</t>
  </si>
  <si>
    <t>Item</t>
  </si>
  <si>
    <t>KPI's</t>
  </si>
  <si>
    <t>Field spreading &amp; plant growth</t>
  </si>
  <si>
    <t>Fatteners, per produced</t>
  </si>
  <si>
    <t>Volatilisation</t>
  </si>
  <si>
    <t>Broilers, 1,000 produced</t>
  </si>
  <si>
    <t>Vejledning_om_goedsknings-_og_harmoniregler_2020_2021.pdf (lbst.dk)</t>
  </si>
  <si>
    <t>Harvest - feed and bedding</t>
  </si>
  <si>
    <r>
      <t>kg N (NH</t>
    </r>
    <r>
      <rPr>
        <vertAlign val="subscript"/>
        <sz val="21"/>
        <color theme="1"/>
        <rFont val="Segoe UI Light"/>
        <family val="2"/>
      </rPr>
      <t>3</t>
    </r>
    <r>
      <rPr>
        <sz val="21"/>
        <color theme="1"/>
        <rFont val="Segoe UI Light"/>
        <family val="2"/>
      </rPr>
      <t>)</t>
    </r>
  </si>
  <si>
    <t>Processing loss</t>
  </si>
  <si>
    <t>Ex processing</t>
  </si>
  <si>
    <t>Ton</t>
  </si>
  <si>
    <t>Ha</t>
  </si>
  <si>
    <t>Dairy cows</t>
  </si>
  <si>
    <t>kg C</t>
  </si>
  <si>
    <t>Processing and export</t>
  </si>
  <si>
    <t>Import</t>
  </si>
  <si>
    <t>Loss to soil / water</t>
  </si>
  <si>
    <t>Examples of references</t>
  </si>
  <si>
    <t>All figures per ha</t>
  </si>
  <si>
    <t>Livestock manure per ha</t>
  </si>
  <si>
    <t>Storage and field spreading per ha</t>
  </si>
  <si>
    <t>Import per ha</t>
  </si>
  <si>
    <t>Processing and export per ha</t>
  </si>
  <si>
    <t>Feeding per ha</t>
  </si>
  <si>
    <t>Export</t>
  </si>
  <si>
    <t>AgroTechnologyATLAS (agrotechnologyatlas.eu), 2021</t>
  </si>
  <si>
    <t xml:space="preserve">© Organe Institute (organe.dk) and </t>
  </si>
  <si>
    <t>Mineral fertilisers and other</t>
  </si>
  <si>
    <t>Area of the observed farm / region</t>
  </si>
  <si>
    <t>Photosynthesis and N-fixation</t>
  </si>
  <si>
    <t>Need / crop uptake</t>
  </si>
  <si>
    <t>Feed efficiency, %</t>
  </si>
  <si>
    <t>Max need</t>
  </si>
  <si>
    <t>Respiration loss</t>
  </si>
  <si>
    <t>Ton C</t>
  </si>
  <si>
    <t>% processing loss</t>
  </si>
  <si>
    <t>ton C</t>
  </si>
  <si>
    <t>No. of livestock and chemical content of their manure per animal</t>
  </si>
  <si>
    <t>CNP flows interactive model</t>
  </si>
  <si>
    <t>Farm gate balance, kg</t>
  </si>
  <si>
    <t>NUE, manure, %</t>
  </si>
  <si>
    <t>Enteric methane</t>
  </si>
  <si>
    <t>Photosynthesis and N fixation per ha in harvested crop</t>
  </si>
  <si>
    <t>Plant growth per ha in harvested crop</t>
  </si>
  <si>
    <r>
      <t>ton C (respiration - CO</t>
    </r>
    <r>
      <rPr>
        <vertAlign val="subscript"/>
        <sz val="21"/>
        <color theme="1"/>
        <rFont val="Segoe UI Light"/>
        <family val="2"/>
      </rPr>
      <t>2</t>
    </r>
    <r>
      <rPr>
        <sz val="21"/>
        <color theme="1"/>
        <rFont val="Segoe UI Light"/>
        <family val="2"/>
      </rPr>
      <t>)</t>
    </r>
  </si>
  <si>
    <r>
      <t>ton C (enteric - CH</t>
    </r>
    <r>
      <rPr>
        <vertAlign val="subscript"/>
        <sz val="21"/>
        <color theme="1"/>
        <rFont val="Segoe UI Light"/>
        <family val="2"/>
      </rPr>
      <t>4</t>
    </r>
    <r>
      <rPr>
        <sz val="21"/>
        <color theme="1"/>
        <rFont val="Segoe UI Light"/>
        <family val="2"/>
      </rPr>
      <t>)</t>
    </r>
  </si>
  <si>
    <r>
      <t>ton C (mainly CH</t>
    </r>
    <r>
      <rPr>
        <vertAlign val="subscript"/>
        <sz val="21"/>
        <color theme="1"/>
        <rFont val="Segoe UI Light"/>
        <family val="2"/>
      </rPr>
      <t>4</t>
    </r>
    <r>
      <rPr>
        <sz val="21"/>
        <color theme="1"/>
        <rFont val="Segoe UI Light"/>
        <family val="2"/>
      </rPr>
      <t>)</t>
    </r>
  </si>
  <si>
    <r>
      <t>kg N (N</t>
    </r>
    <r>
      <rPr>
        <vertAlign val="subscript"/>
        <sz val="21"/>
        <color theme="1"/>
        <rFont val="Segoe UI Light"/>
        <family val="2"/>
      </rPr>
      <t>2</t>
    </r>
    <r>
      <rPr>
        <sz val="21"/>
        <color theme="1"/>
        <rFont val="Segoe UI Light"/>
        <family val="2"/>
      </rPr>
      <t>O)</t>
    </r>
  </si>
  <si>
    <t>ton C (C sequestration)</t>
  </si>
  <si>
    <t xml:space="preserve">- </t>
  </si>
  <si>
    <t xml:space="preserve">Free for use with citation of reference. </t>
  </si>
  <si>
    <r>
      <t>N loss as N</t>
    </r>
    <r>
      <rPr>
        <vertAlign val="subscript"/>
        <sz val="21"/>
        <color theme="1"/>
        <rFont val="Segoe UI Light"/>
        <family val="2"/>
      </rPr>
      <t>2</t>
    </r>
    <r>
      <rPr>
        <sz val="21"/>
        <color theme="1"/>
        <rFont val="Segoe UI Light"/>
        <family val="2"/>
      </rPr>
      <t>O, kg</t>
    </r>
  </si>
  <si>
    <r>
      <t>GHG emissions, ton CO</t>
    </r>
    <r>
      <rPr>
        <vertAlign val="subscript"/>
        <sz val="19"/>
        <color theme="1"/>
        <rFont val="Segoe UI Light"/>
        <family val="2"/>
      </rPr>
      <t>2e</t>
    </r>
  </si>
  <si>
    <t>Christian Friis Børsting, Anne Louise Frydendahl Hellwing, Peter Lund (eds.): Normtal for husdyrgødning –2020, 40 sider - https://anis.au.dk/fileadmin/DJF/Anis/dokumenter_anis/Forskning/Normtal/Normtal_2020_opdateret_221220.pdf</t>
  </si>
  <si>
    <t>Christine Brown. 2015. Carbon: Nitrogen Ratios of Organic Amendments. - https://fieldcropnews.com/2015/11/carbon-nitrogen-ratios-of-organic-amendments/</t>
  </si>
  <si>
    <t>P.C.Garnsworthy, J.Craigon, J.H.Hernandez-Medrano, N.Saunders. 2012. On-farm methane measurements during milking correlate with total methane production by individual dairy cows. https://doi.org/10.3168/jds.2011-4605</t>
  </si>
  <si>
    <t xml:space="preserve">AgroTechnlogyATLAS - https://www.agrotechnologyatlas.eu </t>
  </si>
  <si>
    <t>Thomas Kupper, Christoph Häni, Albrecht Neftel, Chris Kincaid, Marcel Bühler, Barbara Amon, Andrew VanderZaag. 2020. Ammonia and greenhouse gas emissions from slurry storage - A review. https://doi.org/10.1016/j.agee.2020.106963</t>
  </si>
  <si>
    <t>The ALFAM2 Project - Ammonia Loss from Field-Applied Manure. https://projects.au.dk/alfam/</t>
  </si>
  <si>
    <t>Lars Biernat, Friedhelm Taube, Ralf Loges, Christof Kluß and Thorsten Reinsch. 2020. Nitrous Oxide Emissions and Methane Uptake from Organic and Conventionally Managed Arable Crop Rotations on Farms in Northwest Germany. Sustainability 2020, 12(8), 3240; https://doi.org/10.3390/su12083240</t>
  </si>
  <si>
    <t>Manoj Kumar, R. P. Singh, S. Panigrahy, Akhilesh Singh Raghubanshi. 2014. Carbon density and accumulation in agroecosystem of Indo-Gangetic Plains and Vindhyan highlands, India. https://www.researchgate.net/publication/261374117_Carbon_density_and_accumulation_in_agroecosystem_of_Indo-Gangetic_Plains_and_Vindhyan_highlands_India</t>
  </si>
  <si>
    <t>Richard Engel, Dan Long, Gregg Carlson and Rosie Wallander. 2005. Estimating Straw Production of Spring and Winter Wheat.  https://landresources.montana.edu/fertilizerfacts/documents/FF33StrawSWWW.pdf</t>
  </si>
  <si>
    <t>J. Madsen. 2015. Use of carbon dioxide as animal breath volume marker. - Examples for determination of Methane production in dairy cows.. https://www.researchgate.net/publication/323999543_Use_of_carbon_dioxide_as_animal_breath_volume_marker_-_Examples_for_determination_of_Methane_production_in_dairy_cows</t>
  </si>
  <si>
    <t>Sequestration</t>
  </si>
  <si>
    <r>
      <t>Processing loss as N</t>
    </r>
    <r>
      <rPr>
        <vertAlign val="subscript"/>
        <sz val="21"/>
        <color theme="1"/>
        <rFont val="Segoe UI Light"/>
        <family val="2"/>
      </rPr>
      <t>2</t>
    </r>
    <r>
      <rPr>
        <sz val="21"/>
        <color theme="1"/>
        <rFont val="Segoe UI Light"/>
        <family val="2"/>
      </rPr>
      <t>O,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</si>
</sst>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Segoe UI Light"/>
      <family val="2"/>
    </font>
    <font>
      <sz val="19"/>
      <color theme="1"/>
      <name val="Segoe UI Light"/>
      <family val="2"/>
    </font>
    <font>
      <b/>
      <sz val="36"/>
      <color theme="1"/>
      <name val="Segoe UI Light"/>
      <family val="2"/>
    </font>
    <font>
      <u/>
      <sz val="11"/>
      <color theme="10"/>
      <name val="Calibri"/>
      <family val="2"/>
      <scheme val="minor"/>
    </font>
    <font>
      <sz val="21"/>
      <color theme="1"/>
      <name val="Segoe UI Light"/>
      <family val="2"/>
    </font>
    <font>
      <b/>
      <sz val="21"/>
      <color theme="1"/>
      <name val="Segoe UI Light"/>
      <family val="2"/>
    </font>
    <font>
      <vertAlign val="subscript"/>
      <sz val="21"/>
      <color theme="1"/>
      <name val="Segoe UI Light"/>
      <family val="2"/>
    </font>
    <font>
      <u/>
      <sz val="21"/>
      <color theme="10"/>
      <name val="Segoe UI Light"/>
      <family val="2"/>
    </font>
    <font>
      <sz val="20"/>
      <color theme="1" tint="0.34998626667073579"/>
      <name val="Segoe UI Light"/>
      <family val="2"/>
    </font>
    <font>
      <i/>
      <sz val="21"/>
      <color theme="1" tint="0.34998626667073579"/>
      <name val="Segoe UI Light"/>
      <family val="2"/>
    </font>
    <font>
      <vertAlign val="subscript"/>
      <sz val="19"/>
      <color theme="1"/>
      <name val="Segoe UI Light"/>
      <family val="2"/>
    </font>
    <font>
      <b/>
      <sz val="40"/>
      <color theme="1"/>
      <name val="Segoe UI Light"/>
      <family val="2"/>
    </font>
    <font>
      <b/>
      <sz val="22"/>
      <color rgb="FFFF0000"/>
      <name val="Segoe UI Light"/>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1" fontId="5" fillId="5" borderId="0" xfId="0" applyNumberFormat="1" applyFont="1" applyFill="1" applyAlignment="1" applyProtection="1">
      <alignment vertical="center"/>
      <protection locked="0"/>
    </xf>
    <xf numFmtId="2" fontId="5" fillId="5" borderId="0" xfId="0" applyNumberFormat="1" applyFont="1" applyFill="1" applyAlignment="1" applyProtection="1">
      <alignment vertical="center"/>
      <protection locked="0"/>
    </xf>
    <xf numFmtId="0" fontId="5" fillId="5" borderId="0" xfId="0" applyFont="1" applyFill="1" applyAlignment="1" applyProtection="1">
      <alignment vertical="center"/>
      <protection locked="0"/>
    </xf>
    <xf numFmtId="2" fontId="5" fillId="5" borderId="0" xfId="0" quotePrefix="1" applyNumberFormat="1" applyFont="1" applyFill="1" applyAlignment="1" applyProtection="1">
      <alignment vertical="center"/>
      <protection locked="0"/>
    </xf>
    <xf numFmtId="164" fontId="5" fillId="5" borderId="0" xfId="0" applyNumberFormat="1" applyFont="1" applyFill="1" applyAlignment="1" applyProtection="1">
      <alignment vertical="center"/>
      <protection locked="0"/>
    </xf>
    <xf numFmtId="0" fontId="5" fillId="2" borderId="0" xfId="0" applyFont="1" applyFill="1" applyProtection="1"/>
    <xf numFmtId="0" fontId="5" fillId="3" borderId="0" xfId="0" applyFont="1" applyFill="1" applyProtection="1"/>
    <xf numFmtId="0" fontId="5" fillId="4" borderId="0" xfId="0" applyFont="1" applyFill="1" applyProtection="1"/>
    <xf numFmtId="0" fontId="5" fillId="0" borderId="0" xfId="0" applyFont="1" applyProtection="1"/>
    <xf numFmtId="0" fontId="6" fillId="3"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Protection="1"/>
    <xf numFmtId="0" fontId="6" fillId="2" borderId="0" xfId="0" applyFont="1" applyFill="1" applyAlignment="1" applyProtection="1">
      <alignment vertical="center"/>
    </xf>
    <xf numFmtId="0" fontId="6" fillId="2" borderId="0" xfId="0" applyFont="1" applyFill="1" applyAlignment="1" applyProtection="1">
      <alignment horizontal="center" vertical="center"/>
    </xf>
    <xf numFmtId="0" fontId="6" fillId="4" borderId="0" xfId="0" applyFont="1" applyFill="1" applyProtection="1"/>
    <xf numFmtId="0" fontId="5" fillId="2" borderId="0" xfId="0" applyFont="1" applyFill="1" applyAlignment="1" applyProtection="1">
      <alignment vertical="center"/>
    </xf>
    <xf numFmtId="0" fontId="8" fillId="0" borderId="0" xfId="1" applyFont="1" applyProtection="1"/>
    <xf numFmtId="0" fontId="6" fillId="2" borderId="0" xfId="0" applyFont="1" applyFill="1" applyProtection="1"/>
    <xf numFmtId="164" fontId="5" fillId="2" borderId="0" xfId="0" applyNumberFormat="1" applyFont="1" applyFill="1" applyAlignment="1" applyProtection="1">
      <alignment vertical="center"/>
    </xf>
    <xf numFmtId="1" fontId="5" fillId="2" borderId="0" xfId="0" applyNumberFormat="1" applyFont="1" applyFill="1" applyAlignment="1" applyProtection="1">
      <alignment vertical="center"/>
    </xf>
    <xf numFmtId="0" fontId="5" fillId="2" borderId="0" xfId="0" quotePrefix="1" applyFont="1" applyFill="1" applyAlignment="1" applyProtection="1">
      <alignment vertical="center"/>
    </xf>
    <xf numFmtId="0" fontId="1" fillId="0" borderId="0" xfId="0" applyFont="1" applyProtection="1"/>
    <xf numFmtId="0" fontId="5" fillId="4" borderId="0" xfId="0" applyFont="1" applyFill="1" applyAlignment="1" applyProtection="1">
      <alignment vertical="center"/>
    </xf>
    <xf numFmtId="2" fontId="5" fillId="0" borderId="0" xfId="0" applyNumberFormat="1" applyFont="1" applyProtection="1"/>
    <xf numFmtId="0" fontId="3" fillId="2" borderId="0" xfId="0" applyFont="1" applyFill="1" applyAlignment="1" applyProtection="1"/>
    <xf numFmtId="0" fontId="3" fillId="3" borderId="0" xfId="0" applyFont="1" applyFill="1" applyAlignment="1" applyProtection="1"/>
    <xf numFmtId="0" fontId="5" fillId="3" borderId="0" xfId="0" applyFont="1" applyFill="1" applyAlignment="1" applyProtection="1">
      <alignment vertical="center"/>
    </xf>
    <xf numFmtId="0" fontId="3" fillId="4" borderId="0" xfId="0" applyFont="1" applyFill="1" applyAlignment="1" applyProtection="1"/>
    <xf numFmtId="0" fontId="6" fillId="4" borderId="0" xfId="0" applyFont="1" applyFill="1" applyAlignment="1" applyProtection="1">
      <alignment vertical="center"/>
    </xf>
    <xf numFmtId="0" fontId="1" fillId="4" borderId="0" xfId="0" applyFont="1" applyFill="1" applyAlignment="1" applyProtection="1">
      <alignment vertical="center"/>
    </xf>
    <xf numFmtId="0" fontId="1" fillId="2" borderId="0" xfId="0" applyFont="1" applyFill="1" applyProtection="1"/>
    <xf numFmtId="0" fontId="1" fillId="3" borderId="0" xfId="0" applyFont="1" applyFill="1" applyProtection="1"/>
    <xf numFmtId="0" fontId="1" fillId="4" borderId="0" xfId="0" quotePrefix="1" applyFont="1" applyFill="1" applyProtection="1"/>
    <xf numFmtId="0" fontId="1" fillId="4" borderId="0" xfId="0" applyFont="1" applyFill="1" applyProtection="1"/>
    <xf numFmtId="2" fontId="5" fillId="2" borderId="0" xfId="0" applyNumberFormat="1" applyFont="1" applyFill="1" applyAlignment="1" applyProtection="1">
      <alignment vertical="center"/>
    </xf>
    <xf numFmtId="0" fontId="5" fillId="2" borderId="0" xfId="0" quotePrefix="1" applyFont="1" applyFill="1" applyAlignment="1" applyProtection="1">
      <alignment horizontal="right" vertical="center"/>
    </xf>
    <xf numFmtId="0" fontId="2" fillId="2" borderId="0" xfId="0" applyFont="1" applyFill="1" applyProtection="1"/>
    <xf numFmtId="164" fontId="2" fillId="2" borderId="0" xfId="0" applyNumberFormat="1" applyFont="1" applyFill="1" applyProtection="1"/>
    <xf numFmtId="0" fontId="2" fillId="0" borderId="0" xfId="0" applyFont="1" applyFill="1" applyProtection="1"/>
    <xf numFmtId="0" fontId="1" fillId="0" borderId="0" xfId="0" applyFont="1" applyFill="1" applyProtection="1"/>
    <xf numFmtId="0" fontId="2" fillId="0" borderId="0" xfId="0" applyFont="1" applyProtection="1"/>
    <xf numFmtId="0" fontId="13" fillId="2" borderId="0" xfId="0" applyFont="1" applyFill="1" applyAlignment="1" applyProtection="1">
      <alignment vertical="center"/>
    </xf>
    <xf numFmtId="2" fontId="5" fillId="4" borderId="0" xfId="0" applyNumberFormat="1" applyFont="1" applyFill="1" applyAlignment="1" applyProtection="1">
      <alignment horizontal="right" vertical="center"/>
    </xf>
    <xf numFmtId="1" fontId="5" fillId="4" borderId="0" xfId="0" applyNumberFormat="1" applyFont="1" applyFill="1" applyAlignment="1" applyProtection="1">
      <alignment horizontal="right" vertical="center"/>
    </xf>
    <xf numFmtId="0" fontId="5" fillId="4" borderId="0" xfId="0" applyFont="1" applyFill="1" applyAlignment="1" applyProtection="1">
      <alignment horizontal="right"/>
    </xf>
    <xf numFmtId="2" fontId="5" fillId="3" borderId="0" xfId="0" applyNumberFormat="1" applyFont="1" applyFill="1" applyAlignment="1" applyProtection="1">
      <alignment horizontal="right" vertical="center"/>
    </xf>
    <xf numFmtId="164" fontId="5" fillId="3" borderId="0" xfId="0" applyNumberFormat="1" applyFont="1" applyFill="1" applyAlignment="1" applyProtection="1">
      <alignment horizontal="right" vertical="center"/>
    </xf>
    <xf numFmtId="1" fontId="5" fillId="3" borderId="0" xfId="0" applyNumberFormat="1" applyFont="1" applyFill="1" applyAlignment="1" applyProtection="1">
      <alignment horizontal="right" vertical="center"/>
    </xf>
    <xf numFmtId="164" fontId="5" fillId="4" borderId="0" xfId="0" applyNumberFormat="1" applyFont="1" applyFill="1" applyAlignment="1" applyProtection="1">
      <alignment horizontal="right" vertical="center"/>
    </xf>
    <xf numFmtId="0" fontId="5" fillId="4" borderId="0" xfId="0" applyFont="1" applyFill="1" applyAlignment="1" applyProtection="1">
      <alignment horizontal="right" vertical="center"/>
    </xf>
    <xf numFmtId="0" fontId="5" fillId="3" borderId="0" xfId="0" applyFont="1" applyFill="1" applyAlignment="1" applyProtection="1">
      <alignment horizontal="right" vertical="center"/>
    </xf>
    <xf numFmtId="164" fontId="5" fillId="2" borderId="0" xfId="0" applyNumberFormat="1" applyFont="1" applyFill="1" applyAlignment="1" applyProtection="1">
      <alignment horizontal="right" vertical="center"/>
    </xf>
    <xf numFmtId="0" fontId="3" fillId="2"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3" fillId="4" borderId="0" xfId="0" applyFont="1" applyFill="1" applyAlignment="1" applyProtection="1">
      <alignment horizontal="center" vertical="center"/>
    </xf>
    <xf numFmtId="2" fontId="5" fillId="2" borderId="0" xfId="0" applyNumberFormat="1" applyFont="1" applyFill="1" applyAlignment="1" applyProtection="1">
      <alignment horizontal="right"/>
    </xf>
    <xf numFmtId="2" fontId="5" fillId="2" borderId="0" xfId="0" applyNumberFormat="1" applyFont="1" applyFill="1" applyAlignment="1" applyProtection="1">
      <alignment horizontal="right" vertical="center"/>
    </xf>
    <xf numFmtId="1" fontId="5" fillId="2" borderId="0" xfId="0" applyNumberFormat="1" applyFont="1" applyFill="1" applyAlignment="1" applyProtection="1">
      <alignment horizontal="right" vertical="center"/>
    </xf>
    <xf numFmtId="0" fontId="10" fillId="3" borderId="0" xfId="0" applyFont="1" applyFill="1" applyAlignment="1" applyProtection="1">
      <alignment horizontal="center"/>
    </xf>
    <xf numFmtId="0" fontId="5" fillId="2" borderId="0" xfId="0" applyFont="1" applyFill="1" applyAlignment="1" applyProtection="1">
      <alignment horizontal="right"/>
    </xf>
    <xf numFmtId="1" fontId="5" fillId="2" borderId="0" xfId="0" applyNumberFormat="1" applyFont="1" applyFill="1" applyAlignment="1" applyProtection="1">
      <alignment horizontal="right"/>
    </xf>
    <xf numFmtId="0" fontId="12" fillId="3" borderId="0" xfId="0" applyFont="1" applyFill="1" applyAlignment="1" applyProtection="1">
      <alignment horizontal="center" vertical="center"/>
    </xf>
    <xf numFmtId="0" fontId="9" fillId="3" borderId="0" xfId="0" applyFont="1" applyFill="1" applyAlignment="1" applyProtection="1">
      <alignment horizontal="center" vertical="center"/>
    </xf>
    <xf numFmtId="0" fontId="10" fillId="3" borderId="0" xfId="0" applyFont="1" applyFill="1" applyAlignment="1" applyProtection="1">
      <alignment horizontal="center" vertical="center"/>
    </xf>
  </cellXfs>
  <cellStyles count="2">
    <cellStyle name="Link" xfId="1" builtinId="8"/>
    <cellStyle name="Normal" xfId="0" builtinId="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47</xdr:col>
      <xdr:colOff>237254</xdr:colOff>
      <xdr:row>25</xdr:row>
      <xdr:rowOff>61744</xdr:rowOff>
    </xdr:from>
    <xdr:to>
      <xdr:col>54</xdr:col>
      <xdr:colOff>265158</xdr:colOff>
      <xdr:row>33</xdr:row>
      <xdr:rowOff>8605</xdr:rowOff>
    </xdr:to>
    <xdr:sp macro="" textlink="">
      <xdr:nvSpPr>
        <xdr:cNvPr id="8" name="Bue 7">
          <a:extLst>
            <a:ext uri="{FF2B5EF4-FFF2-40B4-BE49-F238E27FC236}">
              <a16:creationId xmlns:a16="http://schemas.microsoft.com/office/drawing/2014/main" id="{60B1F5DB-9E30-4AA7-A782-B09AC8BE29AA}"/>
            </a:ext>
          </a:extLst>
        </xdr:cNvPr>
        <xdr:cNvSpPr/>
      </xdr:nvSpPr>
      <xdr:spPr>
        <a:xfrm rot="2311632" flipH="1" flipV="1">
          <a:off x="16493254" y="7999244"/>
          <a:ext cx="2440904" cy="2486861"/>
        </a:xfrm>
        <a:prstGeom prst="arc">
          <a:avLst>
            <a:gd name="adj1" fmla="val 13136854"/>
            <a:gd name="adj2" fmla="val 20239540"/>
          </a:avLst>
        </a:prstGeom>
        <a:ln w="2540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47</xdr:col>
      <xdr:colOff>315355</xdr:colOff>
      <xdr:row>25</xdr:row>
      <xdr:rowOff>153608</xdr:rowOff>
    </xdr:from>
    <xdr:to>
      <xdr:col>55</xdr:col>
      <xdr:colOff>55841</xdr:colOff>
      <xdr:row>34</xdr:row>
      <xdr:rowOff>261227</xdr:rowOff>
    </xdr:to>
    <xdr:sp macro="" textlink="">
      <xdr:nvSpPr>
        <xdr:cNvPr id="61" name="Bue 60">
          <a:extLst>
            <a:ext uri="{FF2B5EF4-FFF2-40B4-BE49-F238E27FC236}">
              <a16:creationId xmlns:a16="http://schemas.microsoft.com/office/drawing/2014/main" id="{2BDAA909-1E38-465B-B680-211F6D4591AE}"/>
            </a:ext>
          </a:extLst>
        </xdr:cNvPr>
        <xdr:cNvSpPr/>
      </xdr:nvSpPr>
      <xdr:spPr>
        <a:xfrm rot="3066220" flipH="1" flipV="1">
          <a:off x="16332226" y="8330237"/>
          <a:ext cx="2965119" cy="2486861"/>
        </a:xfrm>
        <a:prstGeom prst="arc">
          <a:avLst>
            <a:gd name="adj1" fmla="val 13136854"/>
            <a:gd name="adj2" fmla="val 20239540"/>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6</xdr:col>
      <xdr:colOff>117261</xdr:colOff>
      <xdr:row>19</xdr:row>
      <xdr:rowOff>160638</xdr:rowOff>
    </xdr:from>
    <xdr:to>
      <xdr:col>14</xdr:col>
      <xdr:colOff>65641</xdr:colOff>
      <xdr:row>24</xdr:row>
      <xdr:rowOff>109876</xdr:rowOff>
    </xdr:to>
    <xdr:sp macro="" textlink="">
      <xdr:nvSpPr>
        <xdr:cNvPr id="53" name="Bue 52">
          <a:extLst>
            <a:ext uri="{FF2B5EF4-FFF2-40B4-BE49-F238E27FC236}">
              <a16:creationId xmlns:a16="http://schemas.microsoft.com/office/drawing/2014/main" id="{F1BB5A98-2ABC-4EEA-B0BF-90C93547C443}"/>
            </a:ext>
          </a:extLst>
        </xdr:cNvPr>
        <xdr:cNvSpPr/>
      </xdr:nvSpPr>
      <xdr:spPr>
        <a:xfrm rot="834918">
          <a:off x="2339761" y="6193138"/>
          <a:ext cx="2615380" cy="1536738"/>
        </a:xfrm>
        <a:prstGeom prst="arc">
          <a:avLst>
            <a:gd name="adj1" fmla="val 12811681"/>
            <a:gd name="adj2" fmla="val 20226"/>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7</xdr:col>
      <xdr:colOff>95250</xdr:colOff>
      <xdr:row>19</xdr:row>
      <xdr:rowOff>143020</xdr:rowOff>
    </xdr:from>
    <xdr:to>
      <xdr:col>8</xdr:col>
      <xdr:colOff>42894</xdr:colOff>
      <xdr:row>19</xdr:row>
      <xdr:rowOff>158750</xdr:rowOff>
    </xdr:to>
    <xdr:cxnSp macro="">
      <xdr:nvCxnSpPr>
        <xdr:cNvPr id="54" name="Lige pilforbindelse 53">
          <a:extLst>
            <a:ext uri="{FF2B5EF4-FFF2-40B4-BE49-F238E27FC236}">
              <a16:creationId xmlns:a16="http://schemas.microsoft.com/office/drawing/2014/main" id="{14757FCA-BACB-4854-BBD9-D179C7375088}"/>
            </a:ext>
          </a:extLst>
        </xdr:cNvPr>
        <xdr:cNvCxnSpPr/>
      </xdr:nvCxnSpPr>
      <xdr:spPr>
        <a:xfrm flipH="1">
          <a:off x="2651125" y="6175520"/>
          <a:ext cx="281019" cy="15730"/>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185464</xdr:colOff>
      <xdr:row>13</xdr:row>
      <xdr:rowOff>220194</xdr:rowOff>
    </xdr:from>
    <xdr:to>
      <xdr:col>55</xdr:col>
      <xdr:colOff>92264</xdr:colOff>
      <xdr:row>19</xdr:row>
      <xdr:rowOff>230555</xdr:rowOff>
    </xdr:to>
    <xdr:sp macro="" textlink="">
      <xdr:nvSpPr>
        <xdr:cNvPr id="49" name="Bue 48">
          <a:extLst>
            <a:ext uri="{FF2B5EF4-FFF2-40B4-BE49-F238E27FC236}">
              <a16:creationId xmlns:a16="http://schemas.microsoft.com/office/drawing/2014/main" id="{9E102880-3C99-4DD5-B7E7-1C61E2AD367B}"/>
            </a:ext>
          </a:extLst>
        </xdr:cNvPr>
        <xdr:cNvSpPr/>
      </xdr:nvSpPr>
      <xdr:spPr>
        <a:xfrm rot="9198150" flipH="1" flipV="1">
          <a:off x="15885839" y="4347694"/>
          <a:ext cx="2907175" cy="1915361"/>
        </a:xfrm>
        <a:prstGeom prst="arc">
          <a:avLst>
            <a:gd name="adj1" fmla="val 10599470"/>
            <a:gd name="adj2" fmla="val 16225355"/>
          </a:avLst>
        </a:prstGeom>
        <a:ln w="2540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48</xdr:col>
      <xdr:colOff>26</xdr:colOff>
      <xdr:row>11</xdr:row>
      <xdr:rowOff>309981</xdr:rowOff>
    </xdr:from>
    <xdr:to>
      <xdr:col>53</xdr:col>
      <xdr:colOff>273218</xdr:colOff>
      <xdr:row>14</xdr:row>
      <xdr:rowOff>315366</xdr:rowOff>
    </xdr:to>
    <xdr:cxnSp macro="">
      <xdr:nvCxnSpPr>
        <xdr:cNvPr id="50" name="Lige pilforbindelse 49">
          <a:extLst>
            <a:ext uri="{FF2B5EF4-FFF2-40B4-BE49-F238E27FC236}">
              <a16:creationId xmlns:a16="http://schemas.microsoft.com/office/drawing/2014/main" id="{4786428C-AAA6-45D1-8A21-857C54707D04}"/>
            </a:ext>
          </a:extLst>
        </xdr:cNvPr>
        <xdr:cNvCxnSpPr/>
      </xdr:nvCxnSpPr>
      <xdr:spPr>
        <a:xfrm flipH="1">
          <a:off x="16643710" y="3802481"/>
          <a:ext cx="2027797" cy="957885"/>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212018</xdr:colOff>
      <xdr:row>2</xdr:row>
      <xdr:rowOff>267576</xdr:rowOff>
    </xdr:from>
    <xdr:to>
      <xdr:col>27</xdr:col>
      <xdr:colOff>273072</xdr:colOff>
      <xdr:row>13</xdr:row>
      <xdr:rowOff>24103</xdr:rowOff>
    </xdr:to>
    <xdr:sp macro="" textlink="">
      <xdr:nvSpPr>
        <xdr:cNvPr id="2" name="Bue 1">
          <a:extLst>
            <a:ext uri="{FF2B5EF4-FFF2-40B4-BE49-F238E27FC236}">
              <a16:creationId xmlns:a16="http://schemas.microsoft.com/office/drawing/2014/main" id="{AEA5E436-E5C2-42B0-9CE7-A1311B59C255}"/>
            </a:ext>
          </a:extLst>
        </xdr:cNvPr>
        <xdr:cNvSpPr/>
      </xdr:nvSpPr>
      <xdr:spPr>
        <a:xfrm rot="6124479">
          <a:off x="6904781" y="1496438"/>
          <a:ext cx="3249027" cy="2061304"/>
        </a:xfrm>
        <a:prstGeom prst="arc">
          <a:avLst>
            <a:gd name="adj1" fmla="val 16133673"/>
            <a:gd name="adj2" fmla="val 21399810"/>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27</xdr:col>
      <xdr:colOff>174625</xdr:colOff>
      <xdr:row>7</xdr:row>
      <xdr:rowOff>238125</xdr:rowOff>
    </xdr:from>
    <xdr:to>
      <xdr:col>27</xdr:col>
      <xdr:colOff>317500</xdr:colOff>
      <xdr:row>9</xdr:row>
      <xdr:rowOff>142875</xdr:rowOff>
    </xdr:to>
    <xdr:cxnSp macro="">
      <xdr:nvCxnSpPr>
        <xdr:cNvPr id="3" name="Lige pilforbindelse 2">
          <a:extLst>
            <a:ext uri="{FF2B5EF4-FFF2-40B4-BE49-F238E27FC236}">
              <a16:creationId xmlns:a16="http://schemas.microsoft.com/office/drawing/2014/main" id="{44A2ADAB-69CC-41CF-87C4-B44ACB1D186C}"/>
            </a:ext>
          </a:extLst>
        </xdr:cNvPr>
        <xdr:cNvCxnSpPr/>
      </xdr:nvCxnSpPr>
      <xdr:spPr>
        <a:xfrm flipV="1">
          <a:off x="9683750" y="2460625"/>
          <a:ext cx="142875" cy="539750"/>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287064</xdr:colOff>
      <xdr:row>20</xdr:row>
      <xdr:rowOff>242419</xdr:rowOff>
    </xdr:from>
    <xdr:to>
      <xdr:col>57</xdr:col>
      <xdr:colOff>193864</xdr:colOff>
      <xdr:row>26</xdr:row>
      <xdr:rowOff>252780</xdr:rowOff>
    </xdr:to>
    <xdr:sp macro="" textlink="">
      <xdr:nvSpPr>
        <xdr:cNvPr id="4" name="Bue 3">
          <a:extLst>
            <a:ext uri="{FF2B5EF4-FFF2-40B4-BE49-F238E27FC236}">
              <a16:creationId xmlns:a16="http://schemas.microsoft.com/office/drawing/2014/main" id="{40549485-ECD4-42BF-96FB-ECE73865C615}"/>
            </a:ext>
          </a:extLst>
        </xdr:cNvPr>
        <xdr:cNvSpPr/>
      </xdr:nvSpPr>
      <xdr:spPr>
        <a:xfrm rot="10597598" flipH="1" flipV="1">
          <a:off x="16654189" y="6592419"/>
          <a:ext cx="2907175" cy="1915361"/>
        </a:xfrm>
        <a:prstGeom prst="arc">
          <a:avLst>
            <a:gd name="adj1" fmla="val 10599470"/>
            <a:gd name="adj2" fmla="val 16225355"/>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51</xdr:col>
      <xdr:colOff>193929</xdr:colOff>
      <xdr:row>20</xdr:row>
      <xdr:rowOff>15875</xdr:rowOff>
    </xdr:from>
    <xdr:to>
      <xdr:col>58</xdr:col>
      <xdr:colOff>0</xdr:colOff>
      <xdr:row>20</xdr:row>
      <xdr:rowOff>298183</xdr:rowOff>
    </xdr:to>
    <xdr:cxnSp macro="">
      <xdr:nvCxnSpPr>
        <xdr:cNvPr id="5" name="Lige pilforbindelse 4">
          <a:extLst>
            <a:ext uri="{FF2B5EF4-FFF2-40B4-BE49-F238E27FC236}">
              <a16:creationId xmlns:a16="http://schemas.microsoft.com/office/drawing/2014/main" id="{CBA06223-599C-49E1-9C48-93793D837DAF}"/>
            </a:ext>
          </a:extLst>
        </xdr:cNvPr>
        <xdr:cNvCxnSpPr/>
      </xdr:nvCxnSpPr>
      <xdr:spPr>
        <a:xfrm flipH="1">
          <a:off x="17561179" y="6365875"/>
          <a:ext cx="2139696" cy="282308"/>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115766</xdr:colOff>
      <xdr:row>26</xdr:row>
      <xdr:rowOff>291865</xdr:rowOff>
    </xdr:from>
    <xdr:to>
      <xdr:col>16</xdr:col>
      <xdr:colOff>33093</xdr:colOff>
      <xdr:row>32</xdr:row>
      <xdr:rowOff>230218</xdr:rowOff>
    </xdr:to>
    <xdr:sp macro="" textlink="">
      <xdr:nvSpPr>
        <xdr:cNvPr id="6" name="Bue 5">
          <a:extLst>
            <a:ext uri="{FF2B5EF4-FFF2-40B4-BE49-F238E27FC236}">
              <a16:creationId xmlns:a16="http://schemas.microsoft.com/office/drawing/2014/main" id="{A63C4DC8-0FE3-4905-8B6E-556860E00430}"/>
            </a:ext>
          </a:extLst>
        </xdr:cNvPr>
        <xdr:cNvSpPr/>
      </xdr:nvSpPr>
      <xdr:spPr>
        <a:xfrm rot="5865109">
          <a:off x="2819878" y="7843003"/>
          <a:ext cx="1843353" cy="3251077"/>
        </a:xfrm>
        <a:prstGeom prst="arc">
          <a:avLst>
            <a:gd name="adj1" fmla="val 14961651"/>
            <a:gd name="adj2" fmla="val 21343961"/>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3</xdr:col>
      <xdr:colOff>97702</xdr:colOff>
      <xdr:row>15</xdr:row>
      <xdr:rowOff>24566</xdr:rowOff>
    </xdr:from>
    <xdr:to>
      <xdr:col>15</xdr:col>
      <xdr:colOff>234979</xdr:colOff>
      <xdr:row>19</xdr:row>
      <xdr:rowOff>24604</xdr:rowOff>
    </xdr:to>
    <xdr:sp macro="" textlink="">
      <xdr:nvSpPr>
        <xdr:cNvPr id="7" name="Bue 6">
          <a:extLst>
            <a:ext uri="{FF2B5EF4-FFF2-40B4-BE49-F238E27FC236}">
              <a16:creationId xmlns:a16="http://schemas.microsoft.com/office/drawing/2014/main" id="{F21F7976-5B98-4F8F-8D09-59276BA28069}"/>
            </a:ext>
          </a:extLst>
        </xdr:cNvPr>
        <xdr:cNvSpPr/>
      </xdr:nvSpPr>
      <xdr:spPr>
        <a:xfrm rot="1386794">
          <a:off x="1097827" y="4787066"/>
          <a:ext cx="4360027" cy="1270038"/>
        </a:xfrm>
        <a:prstGeom prst="arc">
          <a:avLst>
            <a:gd name="adj1" fmla="val 14379606"/>
            <a:gd name="adj2" fmla="val 97195"/>
          </a:avLst>
        </a:prstGeom>
        <a:ln w="2540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42</xdr:col>
      <xdr:colOff>234143</xdr:colOff>
      <xdr:row>5</xdr:row>
      <xdr:rowOff>144004</xdr:rowOff>
    </xdr:from>
    <xdr:to>
      <xdr:col>47</xdr:col>
      <xdr:colOff>208781</xdr:colOff>
      <xdr:row>16</xdr:row>
      <xdr:rowOff>71503</xdr:rowOff>
    </xdr:to>
    <xdr:sp macro="" textlink="">
      <xdr:nvSpPr>
        <xdr:cNvPr id="9" name="Bue 8">
          <a:extLst>
            <a:ext uri="{FF2B5EF4-FFF2-40B4-BE49-F238E27FC236}">
              <a16:creationId xmlns:a16="http://schemas.microsoft.com/office/drawing/2014/main" id="{2833BEBB-F273-49EB-8FAB-476DA25CE6DE}"/>
            </a:ext>
          </a:extLst>
        </xdr:cNvPr>
        <xdr:cNvSpPr/>
      </xdr:nvSpPr>
      <xdr:spPr>
        <a:xfrm rot="5704530">
          <a:off x="13711775" y="2620747"/>
          <a:ext cx="3419999" cy="1641513"/>
        </a:xfrm>
        <a:prstGeom prst="arc">
          <a:avLst>
            <a:gd name="adj1" fmla="val 14961651"/>
            <a:gd name="adj2" fmla="val 406031"/>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13</xdr:col>
      <xdr:colOff>59463</xdr:colOff>
      <xdr:row>5</xdr:row>
      <xdr:rowOff>178878</xdr:rowOff>
    </xdr:from>
    <xdr:to>
      <xdr:col>17</xdr:col>
      <xdr:colOff>262701</xdr:colOff>
      <xdr:row>18</xdr:row>
      <xdr:rowOff>88195</xdr:rowOff>
    </xdr:to>
    <xdr:sp macro="" textlink="">
      <xdr:nvSpPr>
        <xdr:cNvPr id="10" name="Bue 9">
          <a:extLst>
            <a:ext uri="{FF2B5EF4-FFF2-40B4-BE49-F238E27FC236}">
              <a16:creationId xmlns:a16="http://schemas.microsoft.com/office/drawing/2014/main" id="{4DFB1DC8-3570-4F24-85CB-C8861FF45323}"/>
            </a:ext>
          </a:extLst>
        </xdr:cNvPr>
        <xdr:cNvSpPr/>
      </xdr:nvSpPr>
      <xdr:spPr>
        <a:xfrm rot="5140586">
          <a:off x="3143298" y="3016418"/>
          <a:ext cx="4036817" cy="1536738"/>
        </a:xfrm>
        <a:prstGeom prst="arc">
          <a:avLst>
            <a:gd name="adj1" fmla="val 12811681"/>
            <a:gd name="adj2" fmla="val 21273226"/>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34</xdr:col>
      <xdr:colOff>213407</xdr:colOff>
      <xdr:row>6</xdr:row>
      <xdr:rowOff>136679</xdr:rowOff>
    </xdr:from>
    <xdr:to>
      <xdr:col>38</xdr:col>
      <xdr:colOff>116040</xdr:colOff>
      <xdr:row>12</xdr:row>
      <xdr:rowOff>187043</xdr:rowOff>
    </xdr:to>
    <xdr:sp macro="" textlink="">
      <xdr:nvSpPr>
        <xdr:cNvPr id="11" name="Bue 10">
          <a:extLst>
            <a:ext uri="{FF2B5EF4-FFF2-40B4-BE49-F238E27FC236}">
              <a16:creationId xmlns:a16="http://schemas.microsoft.com/office/drawing/2014/main" id="{64FC72CD-39B9-40D8-87B7-992193B258A3}"/>
            </a:ext>
          </a:extLst>
        </xdr:cNvPr>
        <xdr:cNvSpPr/>
      </xdr:nvSpPr>
      <xdr:spPr>
        <a:xfrm rot="6213856">
          <a:off x="11513979" y="2361607"/>
          <a:ext cx="1955364" cy="1315508"/>
        </a:xfrm>
        <a:prstGeom prst="arc">
          <a:avLst>
            <a:gd name="adj1" fmla="val 15465109"/>
            <a:gd name="adj2" fmla="val 52931"/>
          </a:avLst>
        </a:prstGeom>
        <a:ln w="2540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14</xdr:col>
      <xdr:colOff>12700</xdr:colOff>
      <xdr:row>12</xdr:row>
      <xdr:rowOff>34925</xdr:rowOff>
    </xdr:from>
    <xdr:to>
      <xdr:col>48</xdr:col>
      <xdr:colOff>285750</xdr:colOff>
      <xdr:row>36</xdr:row>
      <xdr:rowOff>31750</xdr:rowOff>
    </xdr:to>
    <xdr:sp macro="" textlink="">
      <xdr:nvSpPr>
        <xdr:cNvPr id="12" name="Ellipse 11">
          <a:extLst>
            <a:ext uri="{FF2B5EF4-FFF2-40B4-BE49-F238E27FC236}">
              <a16:creationId xmlns:a16="http://schemas.microsoft.com/office/drawing/2014/main" id="{5C3EBFFC-EDC4-426B-BBED-0FB50FB5318F}"/>
            </a:ext>
          </a:extLst>
        </xdr:cNvPr>
        <xdr:cNvSpPr/>
      </xdr:nvSpPr>
      <xdr:spPr>
        <a:xfrm>
          <a:off x="4679950" y="3844925"/>
          <a:ext cx="11972925" cy="7727950"/>
        </a:xfrm>
        <a:prstGeom prst="ellipse">
          <a:avLst/>
        </a:prstGeom>
        <a:noFill/>
        <a:ln w="2540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solidFill>
              <a:schemeClr val="accent6">
                <a:lumMod val="75000"/>
              </a:schemeClr>
            </a:solidFill>
          </a:endParaRPr>
        </a:p>
      </xdr:txBody>
    </xdr:sp>
    <xdr:clientData/>
  </xdr:twoCellAnchor>
  <xdr:twoCellAnchor>
    <xdr:from>
      <xdr:col>38</xdr:col>
      <xdr:colOff>120361</xdr:colOff>
      <xdr:row>6</xdr:row>
      <xdr:rowOff>174625</xdr:rowOff>
    </xdr:from>
    <xdr:to>
      <xdr:col>38</xdr:col>
      <xdr:colOff>238125</xdr:colOff>
      <xdr:row>9</xdr:row>
      <xdr:rowOff>216141</xdr:rowOff>
    </xdr:to>
    <xdr:cxnSp macro="">
      <xdr:nvCxnSpPr>
        <xdr:cNvPr id="13" name="Lige pilforbindelse 12">
          <a:extLst>
            <a:ext uri="{FF2B5EF4-FFF2-40B4-BE49-F238E27FC236}">
              <a16:creationId xmlns:a16="http://schemas.microsoft.com/office/drawing/2014/main" id="{842498ED-A150-4D68-B59C-0520E167229D}"/>
            </a:ext>
          </a:extLst>
        </xdr:cNvPr>
        <xdr:cNvCxnSpPr/>
      </xdr:nvCxnSpPr>
      <xdr:spPr>
        <a:xfrm flipV="1">
          <a:off x="13153736" y="2079625"/>
          <a:ext cx="117764" cy="994016"/>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79375</xdr:colOff>
      <xdr:row>6</xdr:row>
      <xdr:rowOff>206375</xdr:rowOff>
    </xdr:from>
    <xdr:to>
      <xdr:col>17</xdr:col>
      <xdr:colOff>63501</xdr:colOff>
      <xdr:row>8</xdr:row>
      <xdr:rowOff>247651</xdr:rowOff>
    </xdr:to>
    <xdr:cxnSp macro="">
      <xdr:nvCxnSpPr>
        <xdr:cNvPr id="14" name="Lige pilforbindelse 13">
          <a:extLst>
            <a:ext uri="{FF2B5EF4-FFF2-40B4-BE49-F238E27FC236}">
              <a16:creationId xmlns:a16="http://schemas.microsoft.com/office/drawing/2014/main" id="{DA2757DF-311C-43FD-A407-A0435A83D79A}"/>
            </a:ext>
          </a:extLst>
        </xdr:cNvPr>
        <xdr:cNvCxnSpPr/>
      </xdr:nvCxnSpPr>
      <xdr:spPr>
        <a:xfrm flipH="1" flipV="1">
          <a:off x="5413375" y="2111375"/>
          <a:ext cx="317501" cy="676276"/>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211455</xdr:colOff>
      <xdr:row>7</xdr:row>
      <xdr:rowOff>215902</xdr:rowOff>
    </xdr:from>
    <xdr:to>
      <xdr:col>47</xdr:col>
      <xdr:colOff>225425</xdr:colOff>
      <xdr:row>10</xdr:row>
      <xdr:rowOff>76200</xdr:rowOff>
    </xdr:to>
    <xdr:cxnSp macro="">
      <xdr:nvCxnSpPr>
        <xdr:cNvPr id="15" name="Lige pilforbindelse 14">
          <a:extLst>
            <a:ext uri="{FF2B5EF4-FFF2-40B4-BE49-F238E27FC236}">
              <a16:creationId xmlns:a16="http://schemas.microsoft.com/office/drawing/2014/main" id="{A611435D-E05A-46D2-B1CB-5D5BA06CC542}"/>
            </a:ext>
          </a:extLst>
        </xdr:cNvPr>
        <xdr:cNvCxnSpPr/>
      </xdr:nvCxnSpPr>
      <xdr:spPr>
        <a:xfrm flipH="1" flipV="1">
          <a:off x="16245205" y="2438402"/>
          <a:ext cx="13970" cy="812798"/>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155898</xdr:colOff>
      <xdr:row>32</xdr:row>
      <xdr:rowOff>299798</xdr:rowOff>
    </xdr:from>
    <xdr:to>
      <xdr:col>53</xdr:col>
      <xdr:colOff>31750</xdr:colOff>
      <xdr:row>33</xdr:row>
      <xdr:rowOff>63500</xdr:rowOff>
    </xdr:to>
    <xdr:cxnSp macro="">
      <xdr:nvCxnSpPr>
        <xdr:cNvPr id="16" name="Lige pilforbindelse 15">
          <a:extLst>
            <a:ext uri="{FF2B5EF4-FFF2-40B4-BE49-F238E27FC236}">
              <a16:creationId xmlns:a16="http://schemas.microsoft.com/office/drawing/2014/main" id="{6BE09C57-812C-4959-936A-D4164ECD177F}"/>
            </a:ext>
          </a:extLst>
        </xdr:cNvPr>
        <xdr:cNvCxnSpPr/>
      </xdr:nvCxnSpPr>
      <xdr:spPr>
        <a:xfrm>
          <a:off x="17745398" y="10459798"/>
          <a:ext cx="621977" cy="81202"/>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174625</xdr:colOff>
      <xdr:row>35</xdr:row>
      <xdr:rowOff>127000</xdr:rowOff>
    </xdr:from>
    <xdr:to>
      <xdr:col>28</xdr:col>
      <xdr:colOff>76200</xdr:colOff>
      <xdr:row>35</xdr:row>
      <xdr:rowOff>301626</xdr:rowOff>
    </xdr:to>
    <xdr:cxnSp macro="">
      <xdr:nvCxnSpPr>
        <xdr:cNvPr id="18" name="Lige pilforbindelse 17">
          <a:extLst>
            <a:ext uri="{FF2B5EF4-FFF2-40B4-BE49-F238E27FC236}">
              <a16:creationId xmlns:a16="http://schemas.microsoft.com/office/drawing/2014/main" id="{5387D3B2-84BB-42D0-89BA-0301E7D62008}"/>
            </a:ext>
          </a:extLst>
        </xdr:cNvPr>
        <xdr:cNvCxnSpPr/>
      </xdr:nvCxnSpPr>
      <xdr:spPr>
        <a:xfrm flipH="1" flipV="1">
          <a:off x="8794750" y="11239500"/>
          <a:ext cx="901700" cy="174626"/>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139700</xdr:colOff>
      <xdr:row>13</xdr:row>
      <xdr:rowOff>6350</xdr:rowOff>
    </xdr:from>
    <xdr:to>
      <xdr:col>39</xdr:col>
      <xdr:colOff>317500</xdr:colOff>
      <xdr:row>13</xdr:row>
      <xdr:rowOff>238125</xdr:rowOff>
    </xdr:to>
    <xdr:cxnSp macro="">
      <xdr:nvCxnSpPr>
        <xdr:cNvPr id="19" name="Lige pilforbindelse 18">
          <a:extLst>
            <a:ext uri="{FF2B5EF4-FFF2-40B4-BE49-F238E27FC236}">
              <a16:creationId xmlns:a16="http://schemas.microsoft.com/office/drawing/2014/main" id="{9E3F3079-63E0-4CC2-B5F1-7F66877A10FA}"/>
            </a:ext>
          </a:extLst>
        </xdr:cNvPr>
        <xdr:cNvCxnSpPr/>
      </xdr:nvCxnSpPr>
      <xdr:spPr>
        <a:xfrm>
          <a:off x="12839700" y="4133850"/>
          <a:ext cx="844550" cy="231775"/>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127000</xdr:colOff>
      <xdr:row>14</xdr:row>
      <xdr:rowOff>222249</xdr:rowOff>
    </xdr:from>
    <xdr:to>
      <xdr:col>38</xdr:col>
      <xdr:colOff>317500</xdr:colOff>
      <xdr:row>19</xdr:row>
      <xdr:rowOff>174624</xdr:rowOff>
    </xdr:to>
    <xdr:sp macro="" textlink="">
      <xdr:nvSpPr>
        <xdr:cNvPr id="20" name="Magnetpladelager 5">
          <a:extLst>
            <a:ext uri="{FF2B5EF4-FFF2-40B4-BE49-F238E27FC236}">
              <a16:creationId xmlns:a16="http://schemas.microsoft.com/office/drawing/2014/main" id="{1FC6347F-D45A-4107-8E29-EC8CF4E6F4A9}"/>
            </a:ext>
          </a:extLst>
        </xdr:cNvPr>
        <xdr:cNvSpPr/>
      </xdr:nvSpPr>
      <xdr:spPr>
        <a:xfrm>
          <a:off x="11414125" y="4667249"/>
          <a:ext cx="1936750" cy="1539875"/>
        </a:xfrm>
        <a:prstGeom prst="flowChartMagneticDisk">
          <a:avLst/>
        </a:prstGeom>
        <a:solidFill>
          <a:schemeClr val="bg1">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p>
      </xdr:txBody>
    </xdr:sp>
    <xdr:clientData/>
  </xdr:twoCellAnchor>
  <xdr:twoCellAnchor>
    <xdr:from>
      <xdr:col>17</xdr:col>
      <xdr:colOff>457200</xdr:colOff>
      <xdr:row>14</xdr:row>
      <xdr:rowOff>158750</xdr:rowOff>
    </xdr:from>
    <xdr:to>
      <xdr:col>20</xdr:col>
      <xdr:colOff>47625</xdr:colOff>
      <xdr:row>16</xdr:row>
      <xdr:rowOff>85727</xdr:rowOff>
    </xdr:to>
    <xdr:cxnSp macro="">
      <xdr:nvCxnSpPr>
        <xdr:cNvPr id="21" name="Lige pilforbindelse 20">
          <a:extLst>
            <a:ext uri="{FF2B5EF4-FFF2-40B4-BE49-F238E27FC236}">
              <a16:creationId xmlns:a16="http://schemas.microsoft.com/office/drawing/2014/main" id="{1F400299-5525-4887-99CC-43615E3B1AE7}"/>
            </a:ext>
          </a:extLst>
        </xdr:cNvPr>
        <xdr:cNvCxnSpPr/>
      </xdr:nvCxnSpPr>
      <xdr:spPr>
        <a:xfrm flipV="1">
          <a:off x="6124575" y="4603750"/>
          <a:ext cx="876300" cy="561977"/>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174625</xdr:colOff>
      <xdr:row>13</xdr:row>
      <xdr:rowOff>254000</xdr:rowOff>
    </xdr:from>
    <xdr:to>
      <xdr:col>8</xdr:col>
      <xdr:colOff>317501</xdr:colOff>
      <xdr:row>14</xdr:row>
      <xdr:rowOff>269875</xdr:rowOff>
    </xdr:to>
    <xdr:cxnSp macro="">
      <xdr:nvCxnSpPr>
        <xdr:cNvPr id="22" name="Lige pilforbindelse 21">
          <a:extLst>
            <a:ext uri="{FF2B5EF4-FFF2-40B4-BE49-F238E27FC236}">
              <a16:creationId xmlns:a16="http://schemas.microsoft.com/office/drawing/2014/main" id="{AD2DA678-D37D-4318-8C92-D53EBECB0C43}"/>
            </a:ext>
          </a:extLst>
        </xdr:cNvPr>
        <xdr:cNvCxnSpPr/>
      </xdr:nvCxnSpPr>
      <xdr:spPr>
        <a:xfrm flipH="1" flipV="1">
          <a:off x="2397125" y="4381500"/>
          <a:ext cx="809626" cy="333375"/>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95251</xdr:colOff>
      <xdr:row>20</xdr:row>
      <xdr:rowOff>301625</xdr:rowOff>
    </xdr:from>
    <xdr:to>
      <xdr:col>48</xdr:col>
      <xdr:colOff>206375</xdr:colOff>
      <xdr:row>22</xdr:row>
      <xdr:rowOff>63500</xdr:rowOff>
    </xdr:to>
    <xdr:cxnSp macro="">
      <xdr:nvCxnSpPr>
        <xdr:cNvPr id="23" name="Lige pilforbindelse 22">
          <a:extLst>
            <a:ext uri="{FF2B5EF4-FFF2-40B4-BE49-F238E27FC236}">
              <a16:creationId xmlns:a16="http://schemas.microsoft.com/office/drawing/2014/main" id="{821C023A-A345-4665-9748-47626EE38418}"/>
            </a:ext>
          </a:extLst>
        </xdr:cNvPr>
        <xdr:cNvCxnSpPr/>
      </xdr:nvCxnSpPr>
      <xdr:spPr>
        <a:xfrm>
          <a:off x="16462376" y="6651625"/>
          <a:ext cx="111124" cy="396875"/>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31750</xdr:colOff>
      <xdr:row>32</xdr:row>
      <xdr:rowOff>127000</xdr:rowOff>
    </xdr:from>
    <xdr:to>
      <xdr:col>11</xdr:col>
      <xdr:colOff>301625</xdr:colOff>
      <xdr:row>32</xdr:row>
      <xdr:rowOff>254000</xdr:rowOff>
    </xdr:to>
    <xdr:cxnSp macro="">
      <xdr:nvCxnSpPr>
        <xdr:cNvPr id="24" name="Lige pilforbindelse 23">
          <a:extLst>
            <a:ext uri="{FF2B5EF4-FFF2-40B4-BE49-F238E27FC236}">
              <a16:creationId xmlns:a16="http://schemas.microsoft.com/office/drawing/2014/main" id="{FFB13274-4467-4847-8A23-48C1999756AA}"/>
            </a:ext>
          </a:extLst>
        </xdr:cNvPr>
        <xdr:cNvCxnSpPr/>
      </xdr:nvCxnSpPr>
      <xdr:spPr>
        <a:xfrm>
          <a:off x="2698750" y="10287000"/>
          <a:ext cx="1270000" cy="127000"/>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63500</xdr:colOff>
      <xdr:row>14</xdr:row>
      <xdr:rowOff>123826</xdr:rowOff>
    </xdr:from>
    <xdr:to>
      <xdr:col>39</xdr:col>
      <xdr:colOff>41275</xdr:colOff>
      <xdr:row>19</xdr:row>
      <xdr:rowOff>238125</xdr:rowOff>
    </xdr:to>
    <xdr:sp macro="" textlink="">
      <xdr:nvSpPr>
        <xdr:cNvPr id="25" name="Magnetpladelager 5">
          <a:extLst>
            <a:ext uri="{FF2B5EF4-FFF2-40B4-BE49-F238E27FC236}">
              <a16:creationId xmlns:a16="http://schemas.microsoft.com/office/drawing/2014/main" id="{789E8762-4BB4-4A9F-9FA6-35EE51471116}"/>
            </a:ext>
          </a:extLst>
        </xdr:cNvPr>
        <xdr:cNvSpPr/>
      </xdr:nvSpPr>
      <xdr:spPr>
        <a:xfrm>
          <a:off x="11350625" y="4568826"/>
          <a:ext cx="2057400" cy="1701799"/>
        </a:xfrm>
        <a:prstGeom prst="flowChartMagneticDisk">
          <a:avLst/>
        </a:prstGeom>
        <a:no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a-DK" sz="1100"/>
        </a:p>
      </xdr:txBody>
    </xdr:sp>
    <xdr:clientData/>
  </xdr:twoCellAnchor>
  <xdr:twoCellAnchor>
    <xdr:from>
      <xdr:col>27</xdr:col>
      <xdr:colOff>127000</xdr:colOff>
      <xdr:row>12</xdr:row>
      <xdr:rowOff>47625</xdr:rowOff>
    </xdr:from>
    <xdr:to>
      <xdr:col>30</xdr:col>
      <xdr:colOff>79375</xdr:colOff>
      <xdr:row>12</xdr:row>
      <xdr:rowOff>111126</xdr:rowOff>
    </xdr:to>
    <xdr:cxnSp macro="">
      <xdr:nvCxnSpPr>
        <xdr:cNvPr id="26" name="Lige pilforbindelse 25">
          <a:extLst>
            <a:ext uri="{FF2B5EF4-FFF2-40B4-BE49-F238E27FC236}">
              <a16:creationId xmlns:a16="http://schemas.microsoft.com/office/drawing/2014/main" id="{F4425343-1CDC-485A-809E-41CE9ADA7CA6}"/>
            </a:ext>
          </a:extLst>
        </xdr:cNvPr>
        <xdr:cNvCxnSpPr/>
      </xdr:nvCxnSpPr>
      <xdr:spPr>
        <a:xfrm flipV="1">
          <a:off x="9413875" y="3857625"/>
          <a:ext cx="952500" cy="63501"/>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427453</xdr:colOff>
      <xdr:row>1</xdr:row>
      <xdr:rowOff>56858</xdr:rowOff>
    </xdr:from>
    <xdr:to>
      <xdr:col>24</xdr:col>
      <xdr:colOff>306841</xdr:colOff>
      <xdr:row>13</xdr:row>
      <xdr:rowOff>219181</xdr:rowOff>
    </xdr:to>
    <xdr:sp macro="" textlink="">
      <xdr:nvSpPr>
        <xdr:cNvPr id="27" name="Bue 26">
          <a:extLst>
            <a:ext uri="{FF2B5EF4-FFF2-40B4-BE49-F238E27FC236}">
              <a16:creationId xmlns:a16="http://schemas.microsoft.com/office/drawing/2014/main" id="{2F6D02F9-B855-4807-856B-1404E06C82F5}"/>
            </a:ext>
          </a:extLst>
        </xdr:cNvPr>
        <xdr:cNvSpPr/>
      </xdr:nvSpPr>
      <xdr:spPr>
        <a:xfrm rot="5704530">
          <a:off x="5786673" y="1539763"/>
          <a:ext cx="3972323" cy="1641513"/>
        </a:xfrm>
        <a:prstGeom prst="arc">
          <a:avLst>
            <a:gd name="adj1" fmla="val 14195696"/>
            <a:gd name="adj2" fmla="val 21399810"/>
          </a:avLst>
        </a:prstGeom>
        <a:ln w="2540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24</xdr:col>
      <xdr:colOff>300355</xdr:colOff>
      <xdr:row>4</xdr:row>
      <xdr:rowOff>181915</xdr:rowOff>
    </xdr:from>
    <xdr:to>
      <xdr:col>24</xdr:col>
      <xdr:colOff>317210</xdr:colOff>
      <xdr:row>7</xdr:row>
      <xdr:rowOff>83728</xdr:rowOff>
    </xdr:to>
    <xdr:cxnSp macro="">
      <xdr:nvCxnSpPr>
        <xdr:cNvPr id="28" name="Lige pilforbindelse 27">
          <a:extLst>
            <a:ext uri="{FF2B5EF4-FFF2-40B4-BE49-F238E27FC236}">
              <a16:creationId xmlns:a16="http://schemas.microsoft.com/office/drawing/2014/main" id="{B6019D06-3BEE-4C00-AAD0-7E90DD31A6D9}"/>
            </a:ext>
          </a:extLst>
        </xdr:cNvPr>
        <xdr:cNvCxnSpPr/>
      </xdr:nvCxnSpPr>
      <xdr:spPr>
        <a:xfrm flipH="1" flipV="1">
          <a:off x="8587105" y="1451915"/>
          <a:ext cx="16855" cy="854313"/>
        </a:xfrm>
        <a:prstGeom prst="straightConnector1">
          <a:avLst/>
        </a:prstGeom>
        <a:ln w="2540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324789</xdr:colOff>
      <xdr:row>8</xdr:row>
      <xdr:rowOff>111126</xdr:rowOff>
    </xdr:from>
    <xdr:to>
      <xdr:col>28</xdr:col>
      <xdr:colOff>206375</xdr:colOff>
      <xdr:row>16</xdr:row>
      <xdr:rowOff>111125</xdr:rowOff>
    </xdr:to>
    <xdr:pic>
      <xdr:nvPicPr>
        <xdr:cNvPr id="29" name="Billede 28">
          <a:extLst>
            <a:ext uri="{FF2B5EF4-FFF2-40B4-BE49-F238E27FC236}">
              <a16:creationId xmlns:a16="http://schemas.microsoft.com/office/drawing/2014/main" id="{E6A1724D-253F-406E-BE2C-A97AC1BB7855}"/>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6849414" y="2651126"/>
          <a:ext cx="2977211" cy="2539999"/>
        </a:xfrm>
        <a:prstGeom prst="rect">
          <a:avLst/>
        </a:prstGeom>
      </xdr:spPr>
    </xdr:pic>
    <xdr:clientData/>
  </xdr:twoCellAnchor>
  <xdr:twoCellAnchor editAs="oneCell">
    <xdr:from>
      <xdr:col>42</xdr:col>
      <xdr:colOff>254000</xdr:colOff>
      <xdr:row>19</xdr:row>
      <xdr:rowOff>332</xdr:rowOff>
    </xdr:from>
    <xdr:to>
      <xdr:col>49</xdr:col>
      <xdr:colOff>190500</xdr:colOff>
      <xdr:row>30</xdr:row>
      <xdr:rowOff>118366</xdr:rowOff>
    </xdr:to>
    <xdr:pic>
      <xdr:nvPicPr>
        <xdr:cNvPr id="30" name="Billede 29">
          <a:extLst>
            <a:ext uri="{FF2B5EF4-FFF2-40B4-BE49-F238E27FC236}">
              <a16:creationId xmlns:a16="http://schemas.microsoft.com/office/drawing/2014/main" id="{24DC5A47-9DBB-4BE3-875D-FAA4F766E2D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20875" y="6032832"/>
          <a:ext cx="2270125" cy="3610534"/>
        </a:xfrm>
        <a:prstGeom prst="rect">
          <a:avLst/>
        </a:prstGeom>
      </xdr:spPr>
    </xdr:pic>
    <xdr:clientData/>
  </xdr:twoCellAnchor>
  <xdr:twoCellAnchor editAs="oneCell">
    <xdr:from>
      <xdr:col>13</xdr:col>
      <xdr:colOff>111125</xdr:colOff>
      <xdr:row>22</xdr:row>
      <xdr:rowOff>111125</xdr:rowOff>
    </xdr:from>
    <xdr:to>
      <xdr:col>21</xdr:col>
      <xdr:colOff>190499</xdr:colOff>
      <xdr:row>27</xdr:row>
      <xdr:rowOff>251560</xdr:rowOff>
    </xdr:to>
    <xdr:pic>
      <xdr:nvPicPr>
        <xdr:cNvPr id="31" name="Billede 30">
          <a:extLst>
            <a:ext uri="{FF2B5EF4-FFF2-40B4-BE49-F238E27FC236}">
              <a16:creationId xmlns:a16="http://schemas.microsoft.com/office/drawing/2014/main" id="{11289F7D-36E7-440B-9520-B477BA45FA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4667250" y="7096125"/>
          <a:ext cx="3032124" cy="1727935"/>
        </a:xfrm>
        <a:prstGeom prst="rect">
          <a:avLst/>
        </a:prstGeom>
      </xdr:spPr>
    </xdr:pic>
    <xdr:clientData/>
  </xdr:twoCellAnchor>
  <xdr:twoCellAnchor editAs="oneCell">
    <xdr:from>
      <xdr:col>14</xdr:col>
      <xdr:colOff>269874</xdr:colOff>
      <xdr:row>23</xdr:row>
      <xdr:rowOff>257305</xdr:rowOff>
    </xdr:from>
    <xdr:to>
      <xdr:col>20</xdr:col>
      <xdr:colOff>244474</xdr:colOff>
      <xdr:row>29</xdr:row>
      <xdr:rowOff>254000</xdr:rowOff>
    </xdr:to>
    <xdr:pic>
      <xdr:nvPicPr>
        <xdr:cNvPr id="17" name="Billede 16">
          <a:extLst>
            <a:ext uri="{FF2B5EF4-FFF2-40B4-BE49-F238E27FC236}">
              <a16:creationId xmlns:a16="http://schemas.microsoft.com/office/drawing/2014/main" id="{B1E5D75D-7E94-41B4-9AC7-06A1858E5C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5159374" y="7559805"/>
          <a:ext cx="2260600" cy="1901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298773</xdr:colOff>
      <xdr:row>34</xdr:row>
      <xdr:rowOff>141048</xdr:rowOff>
    </xdr:from>
    <xdr:to>
      <xdr:col>53</xdr:col>
      <xdr:colOff>158750</xdr:colOff>
      <xdr:row>34</xdr:row>
      <xdr:rowOff>254000</xdr:rowOff>
    </xdr:to>
    <xdr:cxnSp macro="">
      <xdr:nvCxnSpPr>
        <xdr:cNvPr id="62" name="Lige pilforbindelse 61">
          <a:extLst>
            <a:ext uri="{FF2B5EF4-FFF2-40B4-BE49-F238E27FC236}">
              <a16:creationId xmlns:a16="http://schemas.microsoft.com/office/drawing/2014/main" id="{14835A95-CD12-4C61-8BD5-09FB673FD6EF}"/>
            </a:ext>
          </a:extLst>
        </xdr:cNvPr>
        <xdr:cNvCxnSpPr/>
      </xdr:nvCxnSpPr>
      <xdr:spPr>
        <a:xfrm>
          <a:off x="17888273" y="10936048"/>
          <a:ext cx="606102" cy="112952"/>
        </a:xfrm>
        <a:prstGeom prst="straightConnector1">
          <a:avLst/>
        </a:prstGeom>
        <a:ln w="2540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Henning Lyngsø Foged" id="{233D1B1E-F478-45E3-A5A8-534FB4630EE5}" userId="b89f26078625da96" providerId="Windows Live"/>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T21" dT="2021-05-04T09:44:44.56" personId="{233D1B1E-F478-45E3-A5A8-534FB4630EE5}" id="{CF73EE4F-DBED-437C-B504-35279D74021D}">
    <text>Default value according Biernat et al. (2020), assuming average for a conventional farm</text>
  </threadedComment>
  <threadedComment ref="BS24" dT="2021-05-04T07:12:00.24" personId="{233D1B1E-F478-45E3-A5A8-534FB4630EE5}" id="{591ABF96-A48C-4BEC-9EEF-4B5A739C740B}">
    <text>Default calculation based on a grain yield of 8.3 ton per ha with a C content of 40% (Kumar et al. 2014), a straw yield of 8.3 ton per ha * 1,67 and a C content of 37%, and that alone 10% of the straw is removed from the field / harvested for bedding and feed.</text>
  </threadedComment>
  <threadedComment ref="BS34" dT="2021-05-04T06:53:06.24" personId="{233D1B1E-F478-45E3-A5A8-534FB4630EE5}" id="{78E87616-440F-45E1-B82D-0DE43794E08C}">
    <text>Default value based on Madsen (2015): Assuming the case of dairy cows and that other livestock has the same respiration losses, converted to m3, multiplied with the density of CO2 for conversion to kg, multiplied with the mol weight share of C in CO2, and divided with 1000 to convert to ton</text>
  </threadedComment>
  <threadedComment ref="BS35" dT="2021-05-04T06:57:39.24" personId="{233D1B1E-F478-45E3-A5A8-534FB4630EE5}" id="{BA834EDE-B2CB-414D-8029-C49FE30FBB96}">
    <text>The default value is assumig a dairy cow produce 500 litres of CH4 per day, which with a density of 0,657 kg/m3 is converted to ton per year and multiplied with the mol weight share of C in methane. Finally is  multiplied with the share of a dairy cow in the example calculation.</text>
  </threadedComment>
  <threadedComment ref="BR38" dT="2021-05-04T10:57:36.01" personId="{233D1B1E-F478-45E3-A5A8-534FB4630EE5}" id="{E3FAD360-4517-4558-A7D0-782752B78F62}">
    <text>The principle of the calculation is that all that is tangible and traded over the farm gate is considered, and the calculation will show the losses/emissions. For C the calculation is also considering photosynthesis and sequestration as a result of farm management.</text>
  </threadedComment>
  <threadedComment ref="BR39" dT="2021-05-04T10:58:52.28" personId="{233D1B1E-F478-45E3-A5A8-534FB4630EE5}" id="{EB860B66-C38E-4D1C-9B70-B6ED2AE0DC5B}">
    <text>The principle of the calculation is that it shows the percentage of the value for crop uptage in relation to the original value ex animal</text>
  </threadedComment>
  <threadedComment ref="BR40" dT="2021-05-06T18:09:56.86" personId="{233D1B1E-F478-45E3-A5A8-534FB4630EE5}" id="{6511880B-38EA-4405-87C0-36C8CD0F05C1}">
    <text>GHG emissions are cases where C is emitted, and it is re-calculated by use of Global Warming Effect factors.</text>
  </threadedComment>
  <threadedComment ref="BS40" dT="2021-05-04T09:48:44.66" personId="{233D1B1E-F478-45E3-A5A8-534FB4630EE5}" id="{B0F1FB4E-B78E-4046-92F7-DAA5808DD77E}">
    <text>For conversion to CO2e is assumed Global Warming Potential factors 25 for methane and 265 for laughing gas. Approximate mol weights are used for conversion from C to CO2e. Densities for the gases CO2, CH4 and N2O of 1,98, 0,657 and 1,22, respectively, are used.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anis.au.dk/fileadmin/DJF/Anis/dokumenter_anis/Forskning/Normtal/Normtal_2020_opdateret_221220.pdf" TargetMode="External"/><Relationship Id="rId13" Type="http://schemas.openxmlformats.org/officeDocument/2006/relationships/drawing" Target="../drawings/drawing1.xml"/><Relationship Id="rId3" Type="http://schemas.openxmlformats.org/officeDocument/2006/relationships/hyperlink" Target="https://www.sciencedirect.com/science/article/pii/S0022030212002913" TargetMode="External"/><Relationship Id="rId7" Type="http://schemas.openxmlformats.org/officeDocument/2006/relationships/hyperlink" Target="https://doi.org/10.3390/su12083240" TargetMode="External"/><Relationship Id="rId12" Type="http://schemas.openxmlformats.org/officeDocument/2006/relationships/printerSettings" Target="../printerSettings/printerSettings1.bin"/><Relationship Id="rId2" Type="http://schemas.openxmlformats.org/officeDocument/2006/relationships/hyperlink" Target="https://anis.au.dk/fileadmin/DJF/Anis/dokumenter_anis/Forskning/Normtal/Normtal_2020_opdateret_221220.pdf" TargetMode="External"/><Relationship Id="rId16" Type="http://schemas.microsoft.com/office/2017/10/relationships/threadedComment" Target="../threadedComments/threadedComment1.xml"/><Relationship Id="rId1" Type="http://schemas.openxmlformats.org/officeDocument/2006/relationships/hyperlink" Target="https://lbst.dk/fileadmin/user_upload/NaturErhverv/Filer/Landbrug/Goedningsregnskab/Vejledning_om_goedsknings-_og_harmoniregler_2020_2021.pdf" TargetMode="External"/><Relationship Id="rId6" Type="http://schemas.openxmlformats.org/officeDocument/2006/relationships/hyperlink" Target="https://www.researchgate.net/publication/261374117_Carbon_density_and_accumulation_in_agroecosystem_of_Indo-Gangetic_Plains_and_Vindhyan_highlands_India" TargetMode="External"/><Relationship Id="rId11" Type="http://schemas.openxmlformats.org/officeDocument/2006/relationships/hyperlink" Target="https://projects.au.dk/alfam/" TargetMode="External"/><Relationship Id="rId5" Type="http://schemas.openxmlformats.org/officeDocument/2006/relationships/hyperlink" Target="https://www.researchgate.net/publication/323999543_Use_of_carbon_dioxide_as_animal_breath_volume_marker_-_Examples_for_determination_of_Methane_production_in_dairy_cows" TargetMode="External"/><Relationship Id="rId15" Type="http://schemas.openxmlformats.org/officeDocument/2006/relationships/comments" Target="../comments1.xml"/><Relationship Id="rId10" Type="http://schemas.openxmlformats.org/officeDocument/2006/relationships/hyperlink" Target="https://doi.org/10.1016/j.agee.2020.106963" TargetMode="External"/><Relationship Id="rId4" Type="http://schemas.openxmlformats.org/officeDocument/2006/relationships/hyperlink" Target="https://landresources.montana.edu/fertilizerfacts/documents/FF33StrawSWWW.pdf" TargetMode="External"/><Relationship Id="rId9" Type="http://schemas.openxmlformats.org/officeDocument/2006/relationships/hyperlink" Target="https://www.agrotechnologyatlas.eu/"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5DCC-04C0-46FC-A7C1-4F3A26D4EAA3}">
  <dimension ref="A1:CT46"/>
  <sheetViews>
    <sheetView showGridLines="0" showRowColHeaders="0" tabSelected="1" zoomScale="38" zoomScaleNormal="38" workbookViewId="0">
      <selection activeCell="BQ3" sqref="BQ3"/>
    </sheetView>
  </sheetViews>
  <sheetFormatPr defaultRowHeight="16.5" x14ac:dyDescent="0.45"/>
  <cols>
    <col min="1" max="4" width="4.81640625" style="22" customWidth="1"/>
    <col min="5" max="5" width="8" style="22" customWidth="1"/>
    <col min="6" max="17" width="4.81640625" style="22" customWidth="1"/>
    <col min="18" max="18" width="7.54296875" style="22" customWidth="1"/>
    <col min="19" max="19" width="4.81640625" style="22" customWidth="1"/>
    <col min="20" max="20" width="6.1796875" style="22" customWidth="1"/>
    <col min="21" max="36" width="4.81640625" style="22" customWidth="1"/>
    <col min="37" max="37" width="6" style="22" customWidth="1"/>
    <col min="38" max="51" width="4.81640625" style="22" customWidth="1"/>
    <col min="52" max="52" width="6" style="22" customWidth="1"/>
    <col min="53" max="67" width="4.81640625" style="22" customWidth="1"/>
    <col min="68" max="68" width="1.36328125" style="22" customWidth="1"/>
    <col min="69" max="69" width="15.81640625" style="22" customWidth="1"/>
    <col min="70" max="70" width="43.90625" style="22" customWidth="1"/>
    <col min="71" max="75" width="13.90625" style="22" customWidth="1"/>
    <col min="76" max="76" width="8.7265625" style="22"/>
    <col min="77" max="77" width="14.1796875" style="22" bestFit="1" customWidth="1"/>
    <col min="78" max="78" width="8.7265625" style="22"/>
    <col min="79" max="79" width="12.1796875" style="22" bestFit="1" customWidth="1"/>
    <col min="80" max="80" width="8.7265625" style="22"/>
    <col min="81" max="81" width="12.36328125" style="22" bestFit="1" customWidth="1"/>
    <col min="82" max="82" width="8.7265625" style="22"/>
    <col min="83" max="83" width="16.453125" style="22" bestFit="1" customWidth="1"/>
    <col min="84" max="16384" width="8.7265625" style="22"/>
  </cols>
  <sheetData>
    <row r="1" spans="1:98" s="9" customFormat="1" ht="25.5" customHeight="1" x14ac:dyDescent="0.8">
      <c r="A1" s="6"/>
      <c r="B1" s="6"/>
      <c r="C1" s="6"/>
      <c r="D1" s="6"/>
      <c r="E1" s="6"/>
      <c r="F1" s="6"/>
      <c r="G1" s="6"/>
      <c r="H1" s="6"/>
      <c r="I1" s="6"/>
      <c r="J1" s="6"/>
      <c r="K1" s="6"/>
      <c r="L1" s="6"/>
      <c r="M1" s="6"/>
      <c r="N1" s="6"/>
      <c r="O1" s="6"/>
      <c r="P1" s="6"/>
      <c r="Q1" s="6"/>
      <c r="R1" s="6"/>
      <c r="S1" s="6"/>
      <c r="T1" s="6"/>
      <c r="U1" s="6"/>
      <c r="V1" s="7"/>
      <c r="W1" s="7"/>
      <c r="X1" s="7"/>
      <c r="Y1" s="7"/>
      <c r="Z1" s="7"/>
      <c r="AA1" s="7"/>
      <c r="AB1" s="7"/>
      <c r="AC1" s="7"/>
      <c r="AD1" s="7"/>
      <c r="AE1" s="7"/>
      <c r="AF1" s="7"/>
      <c r="AG1" s="7"/>
      <c r="AH1" s="7"/>
      <c r="AI1" s="7"/>
      <c r="AJ1" s="7"/>
      <c r="AK1" s="7"/>
      <c r="AL1" s="7"/>
      <c r="AM1" s="7"/>
      <c r="AN1" s="7"/>
      <c r="AO1" s="7"/>
      <c r="AP1" s="7"/>
      <c r="AQ1" s="7"/>
      <c r="AR1" s="8"/>
      <c r="AS1" s="8"/>
      <c r="AT1" s="8"/>
      <c r="AU1" s="8"/>
      <c r="AV1" s="8"/>
      <c r="AW1" s="8"/>
      <c r="AX1" s="8"/>
      <c r="AY1" s="8"/>
      <c r="AZ1" s="8"/>
      <c r="BA1" s="8"/>
      <c r="BB1" s="8"/>
      <c r="BC1" s="8"/>
      <c r="BD1" s="8"/>
      <c r="BE1" s="8"/>
      <c r="BF1" s="8"/>
      <c r="BG1" s="8"/>
      <c r="BH1" s="8"/>
      <c r="BI1" s="8"/>
      <c r="BJ1" s="8"/>
      <c r="BK1" s="8"/>
      <c r="BL1" s="8"/>
      <c r="BM1" s="8"/>
      <c r="BN1" s="8"/>
      <c r="BO1" s="8"/>
      <c r="BQ1" s="10" t="s">
        <v>20</v>
      </c>
      <c r="BR1" s="10" t="s">
        <v>21</v>
      </c>
      <c r="BS1" s="11" t="s">
        <v>56</v>
      </c>
      <c r="BT1" s="11" t="s">
        <v>12</v>
      </c>
      <c r="BU1" s="11" t="s">
        <v>13</v>
      </c>
      <c r="BV1" s="11" t="s">
        <v>16</v>
      </c>
      <c r="BW1" s="11" t="s">
        <v>32</v>
      </c>
      <c r="BX1" s="9" t="s">
        <v>39</v>
      </c>
    </row>
    <row r="2" spans="1:98" s="9" customFormat="1" ht="25.5" customHeight="1" x14ac:dyDescent="0.8">
      <c r="A2" s="6"/>
      <c r="B2" s="6"/>
      <c r="C2" s="6"/>
      <c r="D2" s="6"/>
      <c r="E2" s="6"/>
      <c r="F2" s="6"/>
      <c r="G2" s="6"/>
      <c r="H2" s="6"/>
      <c r="I2" s="6"/>
      <c r="J2" s="6"/>
      <c r="K2" s="6"/>
      <c r="L2" s="6"/>
      <c r="M2" s="6"/>
      <c r="N2" s="6"/>
      <c r="O2" s="6"/>
      <c r="P2" s="6"/>
      <c r="Q2" s="6"/>
      <c r="R2" s="6"/>
      <c r="S2" s="6"/>
      <c r="T2" s="6"/>
      <c r="U2" s="6"/>
      <c r="V2" s="12" t="s">
        <v>36</v>
      </c>
      <c r="W2" s="7"/>
      <c r="X2" s="7"/>
      <c r="Y2" s="7"/>
      <c r="Z2" s="7"/>
      <c r="AA2" s="7"/>
      <c r="AB2" s="7"/>
      <c r="AC2" s="7"/>
      <c r="AD2" s="7"/>
      <c r="AE2" s="7"/>
      <c r="AF2" s="7"/>
      <c r="AG2" s="7"/>
      <c r="AH2" s="7"/>
      <c r="AI2" s="7"/>
      <c r="AJ2" s="7"/>
      <c r="AK2" s="7"/>
      <c r="AL2" s="7"/>
      <c r="AM2" s="7"/>
      <c r="AN2" s="7"/>
      <c r="AO2" s="7"/>
      <c r="AP2" s="7"/>
      <c r="AQ2" s="7"/>
      <c r="AR2" s="8"/>
      <c r="AS2" s="8"/>
      <c r="AT2" s="8"/>
      <c r="AU2" s="8"/>
      <c r="AV2" s="8"/>
      <c r="AW2" s="8"/>
      <c r="AX2" s="8"/>
      <c r="AY2" s="8"/>
      <c r="AZ2" s="8"/>
      <c r="BA2" s="8"/>
      <c r="BB2" s="8"/>
      <c r="BC2" s="8"/>
      <c r="BD2" s="8"/>
      <c r="BE2" s="8"/>
      <c r="BF2" s="8"/>
      <c r="BG2" s="8"/>
      <c r="BH2" s="8"/>
      <c r="BI2" s="8"/>
      <c r="BJ2" s="8"/>
      <c r="BK2" s="8"/>
      <c r="BL2" s="8"/>
      <c r="BM2" s="8"/>
      <c r="BN2" s="8"/>
      <c r="BO2" s="8"/>
      <c r="BQ2" s="13" t="s">
        <v>50</v>
      </c>
      <c r="BR2" s="13"/>
      <c r="BS2" s="14"/>
      <c r="BT2" s="14"/>
      <c r="BU2" s="14"/>
      <c r="BV2" s="14"/>
      <c r="BW2" s="14"/>
    </row>
    <row r="3" spans="1:98" s="9" customFormat="1" ht="25.5" customHeight="1" x14ac:dyDescent="0.8">
      <c r="A3" s="6"/>
      <c r="B3" s="6"/>
      <c r="C3" s="6"/>
      <c r="D3" s="6"/>
      <c r="E3" s="6"/>
      <c r="F3" s="6"/>
      <c r="G3" s="6"/>
      <c r="H3" s="6"/>
      <c r="I3" s="6"/>
      <c r="J3" s="6"/>
      <c r="K3" s="6"/>
      <c r="L3" s="6"/>
      <c r="M3" s="6"/>
      <c r="N3" s="6"/>
      <c r="O3" s="6"/>
      <c r="P3" s="6"/>
      <c r="Q3" s="6"/>
      <c r="R3" s="6"/>
      <c r="S3" s="6"/>
      <c r="T3" s="6"/>
      <c r="U3" s="6"/>
      <c r="V3" s="46">
        <f>BS13</f>
        <v>0</v>
      </c>
      <c r="W3" s="46"/>
      <c r="X3" s="7" t="s">
        <v>35</v>
      </c>
      <c r="Y3" s="7"/>
      <c r="Z3" s="7"/>
      <c r="AA3" s="7"/>
      <c r="AB3" s="7"/>
      <c r="AC3" s="7"/>
      <c r="AD3" s="7"/>
      <c r="AE3" s="7"/>
      <c r="AF3" s="7"/>
      <c r="AG3" s="7"/>
      <c r="AH3" s="7"/>
      <c r="AI3" s="7"/>
      <c r="AJ3" s="7"/>
      <c r="AK3" s="7"/>
      <c r="AL3" s="7"/>
      <c r="AM3" s="7"/>
      <c r="AN3" s="7"/>
      <c r="AO3" s="7"/>
      <c r="AP3" s="7"/>
      <c r="AQ3" s="7"/>
      <c r="AR3" s="8"/>
      <c r="AS3" s="8"/>
      <c r="AT3" s="8"/>
      <c r="AU3" s="8"/>
      <c r="AV3" s="8"/>
      <c r="AW3" s="8"/>
      <c r="AX3" s="8"/>
      <c r="AY3" s="8"/>
      <c r="AZ3" s="8"/>
      <c r="BA3" s="8"/>
      <c r="BB3" s="8"/>
      <c r="BC3" s="8"/>
      <c r="BD3" s="8"/>
      <c r="BE3" s="8"/>
      <c r="BF3" s="8"/>
      <c r="BG3" s="8"/>
      <c r="BH3" s="8"/>
      <c r="BI3" s="8"/>
      <c r="BJ3" s="8"/>
      <c r="BK3" s="8"/>
      <c r="BL3" s="8"/>
      <c r="BM3" s="8"/>
      <c r="BN3" s="8"/>
      <c r="BO3" s="8"/>
      <c r="BQ3" s="1">
        <v>1</v>
      </c>
      <c r="BR3" s="13" t="s">
        <v>33</v>
      </c>
      <c r="BS3" s="14"/>
      <c r="BT3" s="14"/>
      <c r="BU3" s="14"/>
      <c r="BV3" s="14"/>
      <c r="BW3" s="14"/>
    </row>
    <row r="4" spans="1:98" s="9" customFormat="1" ht="25.5" customHeight="1" x14ac:dyDescent="0.8">
      <c r="A4" s="6"/>
      <c r="B4" s="6"/>
      <c r="C4" s="6"/>
      <c r="D4" s="6"/>
      <c r="E4" s="6"/>
      <c r="F4" s="6"/>
      <c r="G4" s="6"/>
      <c r="H4" s="6"/>
      <c r="I4" s="6"/>
      <c r="J4" s="6"/>
      <c r="K4" s="6"/>
      <c r="L4" s="6"/>
      <c r="M4" s="6"/>
      <c r="N4" s="6"/>
      <c r="O4" s="6"/>
      <c r="P4" s="6"/>
      <c r="Q4" s="6"/>
      <c r="R4" s="6"/>
      <c r="S4" s="6"/>
      <c r="T4" s="6"/>
      <c r="U4" s="6"/>
      <c r="V4" s="48">
        <f>BT13</f>
        <v>0</v>
      </c>
      <c r="W4" s="51"/>
      <c r="X4" s="7" t="s">
        <v>2</v>
      </c>
      <c r="Y4" s="7"/>
      <c r="Z4" s="7"/>
      <c r="AA4" s="7"/>
      <c r="AB4" s="12" t="s">
        <v>30</v>
      </c>
      <c r="AC4" s="7"/>
      <c r="AD4" s="7"/>
      <c r="AE4" s="7"/>
      <c r="AF4" s="7"/>
      <c r="AG4" s="7"/>
      <c r="AH4" s="7"/>
      <c r="AI4" s="7"/>
      <c r="AJ4" s="7"/>
      <c r="AK4" s="7"/>
      <c r="AL4" s="12" t="s">
        <v>25</v>
      </c>
      <c r="AM4" s="7"/>
      <c r="AN4" s="7"/>
      <c r="AO4" s="7"/>
      <c r="AP4" s="7"/>
      <c r="AQ4" s="7"/>
      <c r="AR4" s="8"/>
      <c r="AS4" s="8"/>
      <c r="AT4" s="8"/>
      <c r="AU4" s="8"/>
      <c r="AV4" s="15" t="s">
        <v>25</v>
      </c>
      <c r="AW4" s="8"/>
      <c r="AX4" s="8"/>
      <c r="AY4" s="8"/>
      <c r="AZ4" s="8"/>
      <c r="BA4" s="8"/>
      <c r="BB4" s="8"/>
      <c r="BC4" s="8"/>
      <c r="BD4" s="8"/>
      <c r="BE4" s="8"/>
      <c r="BF4" s="8"/>
      <c r="BG4" s="8"/>
      <c r="BH4" s="8"/>
      <c r="BI4" s="8"/>
      <c r="BJ4" s="8"/>
      <c r="BK4" s="8"/>
      <c r="BL4" s="8"/>
      <c r="BM4" s="8"/>
      <c r="BN4" s="8"/>
      <c r="BO4" s="8"/>
      <c r="BQ4" s="13" t="s">
        <v>59</v>
      </c>
      <c r="BR4" s="13"/>
      <c r="BS4" s="13"/>
      <c r="BT4" s="13"/>
      <c r="BU4" s="13"/>
      <c r="BV4" s="6"/>
      <c r="BW4" s="13"/>
    </row>
    <row r="5" spans="1:98" s="9" customFormat="1" ht="25.5" customHeight="1" x14ac:dyDescent="0.8">
      <c r="A5" s="6"/>
      <c r="B5" s="6"/>
      <c r="C5" s="6"/>
      <c r="D5" s="6"/>
      <c r="E5" s="6"/>
      <c r="F5" s="6"/>
      <c r="G5" s="6"/>
      <c r="H5" s="6"/>
      <c r="I5" s="6"/>
      <c r="J5" s="6"/>
      <c r="K5" s="6"/>
      <c r="L5" s="6"/>
      <c r="M5" s="6"/>
      <c r="N5" s="6"/>
      <c r="O5" s="6"/>
      <c r="P5" s="6"/>
      <c r="Q5" s="6"/>
      <c r="R5" s="6"/>
      <c r="S5" s="6"/>
      <c r="T5" s="6"/>
      <c r="U5" s="6"/>
      <c r="V5" s="48">
        <f>BU13</f>
        <v>0</v>
      </c>
      <c r="W5" s="48"/>
      <c r="X5" s="7" t="s">
        <v>3</v>
      </c>
      <c r="Y5" s="7"/>
      <c r="Z5" s="7"/>
      <c r="AA5" s="7"/>
      <c r="AB5" s="46">
        <f>BS14/100*BS11</f>
        <v>0</v>
      </c>
      <c r="AC5" s="46"/>
      <c r="AD5" s="7" t="s">
        <v>68</v>
      </c>
      <c r="AE5" s="7"/>
      <c r="AF5" s="7"/>
      <c r="AG5" s="7"/>
      <c r="AH5" s="7"/>
      <c r="AI5" s="7"/>
      <c r="AJ5" s="7"/>
      <c r="AK5" s="7"/>
      <c r="AL5" s="46">
        <f>BS16*BS18/100</f>
        <v>0.14678047999999999</v>
      </c>
      <c r="AM5" s="46"/>
      <c r="AN5" s="7" t="s">
        <v>68</v>
      </c>
      <c r="AO5" s="7"/>
      <c r="AP5" s="7"/>
      <c r="AQ5" s="7"/>
      <c r="AR5" s="8"/>
      <c r="AS5" s="8"/>
      <c r="AT5" s="8"/>
      <c r="AU5" s="8"/>
      <c r="AV5" s="43">
        <f>BS19*BS20/100</f>
        <v>7.0454630399999996E-2</v>
      </c>
      <c r="AW5" s="43"/>
      <c r="AX5" s="8" t="s">
        <v>68</v>
      </c>
      <c r="AY5" s="8"/>
      <c r="AZ5" s="8"/>
      <c r="BA5" s="8"/>
      <c r="BB5" s="8"/>
      <c r="BC5" s="8"/>
      <c r="BD5" s="8"/>
      <c r="BE5" s="8"/>
      <c r="BF5" s="8"/>
      <c r="BG5" s="8"/>
      <c r="BH5" s="8"/>
      <c r="BI5" s="8"/>
      <c r="BJ5" s="8"/>
      <c r="BK5" s="8"/>
      <c r="BL5" s="8"/>
      <c r="BM5" s="8"/>
      <c r="BN5" s="8"/>
      <c r="BO5" s="8"/>
      <c r="BQ5" s="2">
        <v>1.2</v>
      </c>
      <c r="BR5" s="3" t="s">
        <v>26</v>
      </c>
      <c r="BS5" s="2">
        <v>2</v>
      </c>
      <c r="BT5" s="2">
        <v>83.4</v>
      </c>
      <c r="BU5" s="2">
        <v>18.600000000000001</v>
      </c>
      <c r="BV5" s="16"/>
      <c r="BW5" s="2">
        <v>2.2200000000000002</v>
      </c>
      <c r="BX5" s="17" t="s">
        <v>75</v>
      </c>
    </row>
    <row r="6" spans="1:98" s="9" customFormat="1" ht="25.5" customHeight="1" x14ac:dyDescent="0.8">
      <c r="A6" s="6"/>
      <c r="B6" s="6"/>
      <c r="C6" s="6"/>
      <c r="D6" s="6"/>
      <c r="E6" s="6"/>
      <c r="F6" s="6"/>
      <c r="G6" s="6"/>
      <c r="H6" s="6"/>
      <c r="I6" s="18" t="s">
        <v>25</v>
      </c>
      <c r="J6" s="6"/>
      <c r="K6" s="6"/>
      <c r="L6" s="6"/>
      <c r="M6" s="6"/>
      <c r="N6" s="6"/>
      <c r="O6" s="6"/>
      <c r="P6" s="6"/>
      <c r="Q6" s="6"/>
      <c r="R6" s="6"/>
      <c r="S6" s="6"/>
      <c r="T6" s="6"/>
      <c r="U6" s="6"/>
      <c r="V6" s="7"/>
      <c r="W6" s="7"/>
      <c r="X6" s="7"/>
      <c r="Y6" s="7"/>
      <c r="Z6" s="7"/>
      <c r="AA6" s="7"/>
      <c r="AB6" s="48">
        <f>BT14/100*BT11</f>
        <v>0</v>
      </c>
      <c r="AC6" s="48"/>
      <c r="AD6" s="7" t="s">
        <v>29</v>
      </c>
      <c r="AE6" s="7"/>
      <c r="AF6" s="7"/>
      <c r="AG6" s="7"/>
      <c r="AH6" s="7"/>
      <c r="AI6" s="7"/>
      <c r="AJ6" s="7"/>
      <c r="AK6" s="7"/>
      <c r="AL6" s="48">
        <f>BT16*BT18/100</f>
        <v>30.005064000000001</v>
      </c>
      <c r="AM6" s="48"/>
      <c r="AN6" s="7" t="s">
        <v>29</v>
      </c>
      <c r="AO6" s="7"/>
      <c r="AP6" s="7"/>
      <c r="AQ6" s="7"/>
      <c r="AR6" s="8"/>
      <c r="AS6" s="8"/>
      <c r="AT6" s="8"/>
      <c r="AU6" s="8"/>
      <c r="AV6" s="44">
        <f>BT19*BT20/100</f>
        <v>42.507174000000006</v>
      </c>
      <c r="AW6" s="44"/>
      <c r="AX6" s="8" t="s">
        <v>29</v>
      </c>
      <c r="AY6" s="8"/>
      <c r="AZ6" s="8"/>
      <c r="BA6" s="8"/>
      <c r="BB6" s="8"/>
      <c r="BC6" s="8"/>
      <c r="BD6" s="8"/>
      <c r="BE6" s="8"/>
      <c r="BF6" s="8"/>
      <c r="BG6" s="8"/>
      <c r="BH6" s="8"/>
      <c r="BI6" s="8"/>
      <c r="BJ6" s="8"/>
      <c r="BK6" s="8"/>
      <c r="BL6" s="8"/>
      <c r="BM6" s="8"/>
      <c r="BN6" s="8"/>
      <c r="BO6" s="8"/>
      <c r="BQ6" s="2">
        <v>18</v>
      </c>
      <c r="BR6" s="3" t="s">
        <v>24</v>
      </c>
      <c r="BS6" s="2">
        <v>2.1000000000000001E-2</v>
      </c>
      <c r="BT6" s="2">
        <v>2.94</v>
      </c>
      <c r="BU6" s="2">
        <v>0.55000000000000004</v>
      </c>
      <c r="BV6" s="16"/>
      <c r="BW6" s="2">
        <v>0.56000000000000005</v>
      </c>
      <c r="BX6" s="17" t="s">
        <v>76</v>
      </c>
      <c r="CT6" s="17"/>
    </row>
    <row r="7" spans="1:98" s="9" customFormat="1" ht="25.5" customHeight="1" x14ac:dyDescent="0.8">
      <c r="A7" s="6"/>
      <c r="B7" s="6"/>
      <c r="C7" s="6"/>
      <c r="D7" s="6"/>
      <c r="E7" s="6"/>
      <c r="F7" s="6"/>
      <c r="G7" s="6"/>
      <c r="H7" s="6"/>
      <c r="I7" s="57">
        <f>BS9*BS10/100</f>
        <v>7.488800000000001E-2</v>
      </c>
      <c r="J7" s="57"/>
      <c r="K7" s="6" t="s">
        <v>68</v>
      </c>
      <c r="L7" s="6"/>
      <c r="M7" s="6"/>
      <c r="N7" s="6"/>
      <c r="O7" s="6"/>
      <c r="P7" s="6"/>
      <c r="Q7" s="6"/>
      <c r="R7" s="6"/>
      <c r="S7" s="6"/>
      <c r="T7" s="6"/>
      <c r="U7" s="6"/>
      <c r="V7" s="7"/>
      <c r="W7" s="7"/>
      <c r="X7" s="7"/>
      <c r="Y7" s="7"/>
      <c r="Z7" s="7"/>
      <c r="AA7" s="7"/>
      <c r="AB7" s="47">
        <f>BT15</f>
        <v>0</v>
      </c>
      <c r="AC7" s="47"/>
      <c r="AD7" s="7" t="s">
        <v>69</v>
      </c>
      <c r="AE7" s="7"/>
      <c r="AF7" s="7"/>
      <c r="AG7" s="7"/>
      <c r="AH7" s="7"/>
      <c r="AI7" s="7"/>
      <c r="AJ7" s="7"/>
      <c r="AK7" s="7"/>
      <c r="AL7" s="7"/>
      <c r="AM7" s="7"/>
      <c r="AN7" s="7"/>
      <c r="AO7" s="7"/>
      <c r="AP7" s="7"/>
      <c r="AQ7" s="7"/>
      <c r="AR7" s="8"/>
      <c r="AS7" s="8"/>
      <c r="AT7" s="8"/>
      <c r="AU7" s="8"/>
      <c r="AV7" s="49">
        <f>BT21</f>
        <v>0.63913043478260878</v>
      </c>
      <c r="AW7" s="50"/>
      <c r="AX7" s="8" t="s">
        <v>69</v>
      </c>
      <c r="AY7" s="8"/>
      <c r="AZ7" s="8"/>
      <c r="BA7" s="8"/>
      <c r="BB7" s="8"/>
      <c r="BC7" s="8"/>
      <c r="BD7" s="8"/>
      <c r="BE7" s="8"/>
      <c r="BF7" s="8"/>
      <c r="BG7" s="8"/>
      <c r="BH7" s="8"/>
      <c r="BI7" s="8"/>
      <c r="BJ7" s="8"/>
      <c r="BK7" s="8"/>
      <c r="BL7" s="8"/>
      <c r="BM7" s="8"/>
      <c r="BN7" s="8"/>
      <c r="BO7" s="8"/>
      <c r="BQ7" s="4">
        <v>0.4</v>
      </c>
      <c r="BR7" s="3" t="s">
        <v>34</v>
      </c>
      <c r="BS7" s="2">
        <v>2.4159999999999999</v>
      </c>
      <c r="BT7" s="3">
        <v>161.07</v>
      </c>
      <c r="BU7" s="3">
        <v>22.83</v>
      </c>
      <c r="BV7" s="16"/>
      <c r="BW7" s="2">
        <v>32.06</v>
      </c>
      <c r="BX7" s="17"/>
    </row>
    <row r="8" spans="1:98" s="9" customFormat="1" ht="25.5" customHeight="1" x14ac:dyDescent="0.8">
      <c r="A8" s="6"/>
      <c r="B8" s="6"/>
      <c r="C8" s="6"/>
      <c r="D8" s="6"/>
      <c r="E8" s="6"/>
      <c r="F8" s="6"/>
      <c r="G8" s="6"/>
      <c r="H8" s="6"/>
      <c r="I8" s="58">
        <f>BT9*BT10/100</f>
        <v>17.39424</v>
      </c>
      <c r="J8" s="58"/>
      <c r="K8" s="6" t="s">
        <v>29</v>
      </c>
      <c r="L8" s="6"/>
      <c r="M8" s="6"/>
      <c r="N8" s="6"/>
      <c r="O8" s="6"/>
      <c r="P8" s="6"/>
      <c r="Q8" s="6"/>
      <c r="R8" s="6"/>
      <c r="S8" s="6"/>
      <c r="T8" s="6"/>
      <c r="U8" s="6"/>
      <c r="V8" s="7"/>
      <c r="W8" s="7"/>
      <c r="X8" s="7"/>
      <c r="Y8" s="7"/>
      <c r="Z8" s="7"/>
      <c r="AA8" s="7"/>
      <c r="AB8" s="48">
        <f>BU14/100*BU11</f>
        <v>0</v>
      </c>
      <c r="AC8" s="48"/>
      <c r="AD8" s="7" t="s">
        <v>3</v>
      </c>
      <c r="AE8" s="7"/>
      <c r="AF8" s="7"/>
      <c r="AG8" s="7"/>
      <c r="AH8" s="7"/>
      <c r="AI8" s="7"/>
      <c r="AJ8" s="7"/>
      <c r="AK8" s="7"/>
      <c r="AL8" s="7"/>
      <c r="AM8" s="7"/>
      <c r="AN8" s="7"/>
      <c r="AO8" s="7"/>
      <c r="AP8" s="7"/>
      <c r="AQ8" s="7"/>
      <c r="AR8" s="8"/>
      <c r="AS8" s="8"/>
      <c r="AT8" s="8"/>
      <c r="AU8" s="8"/>
      <c r="AV8" s="8"/>
      <c r="AW8" s="8"/>
      <c r="AX8" s="8"/>
      <c r="AY8" s="8"/>
      <c r="AZ8" s="8"/>
      <c r="BA8" s="8"/>
      <c r="BB8" s="8"/>
      <c r="BC8" s="8"/>
      <c r="BD8" s="8"/>
      <c r="BE8" s="8"/>
      <c r="BF8" s="8"/>
      <c r="BG8" s="8"/>
      <c r="BH8" s="8"/>
      <c r="BI8" s="8"/>
      <c r="BJ8" s="8"/>
      <c r="BK8" s="8"/>
      <c r="BL8" s="8"/>
      <c r="BM8" s="8"/>
      <c r="BN8" s="8"/>
      <c r="BO8" s="8"/>
      <c r="BQ8" s="13" t="s">
        <v>41</v>
      </c>
      <c r="BR8" s="16"/>
      <c r="BS8" s="16"/>
      <c r="BT8" s="16"/>
      <c r="BU8" s="16"/>
      <c r="BV8" s="16"/>
      <c r="BW8" s="16"/>
    </row>
    <row r="9" spans="1:98" s="9" customFormat="1" ht="25.5" customHeight="1" x14ac:dyDescent="0.8">
      <c r="A9" s="6"/>
      <c r="B9" s="6"/>
      <c r="C9" s="6"/>
      <c r="D9" s="6"/>
      <c r="E9" s="6"/>
      <c r="F9" s="6"/>
      <c r="G9" s="6"/>
      <c r="H9" s="6"/>
      <c r="I9" s="6"/>
      <c r="J9" s="6"/>
      <c r="K9" s="6"/>
      <c r="L9" s="6"/>
      <c r="M9" s="6"/>
      <c r="N9" s="6"/>
      <c r="O9" s="6"/>
      <c r="P9" s="6"/>
      <c r="Q9" s="6"/>
      <c r="R9" s="6"/>
      <c r="S9" s="6"/>
      <c r="T9" s="6"/>
      <c r="U9" s="6"/>
      <c r="V9" s="7"/>
      <c r="W9" s="7"/>
      <c r="X9" s="7"/>
      <c r="Y9" s="7"/>
      <c r="Z9" s="7"/>
      <c r="AA9" s="7"/>
      <c r="AB9" s="7"/>
      <c r="AC9" s="7"/>
      <c r="AD9" s="7"/>
      <c r="AE9" s="7"/>
      <c r="AF9" s="7"/>
      <c r="AG9" s="7"/>
      <c r="AH9" s="7"/>
      <c r="AI9" s="7"/>
      <c r="AJ9" s="7"/>
      <c r="AK9" s="7"/>
      <c r="AL9" s="7"/>
      <c r="AM9" s="7"/>
      <c r="AN9" s="7"/>
      <c r="AO9" s="7"/>
      <c r="AP9" s="7"/>
      <c r="AQ9" s="7"/>
      <c r="AR9" s="8"/>
      <c r="AS9" s="8"/>
      <c r="AT9" s="8"/>
      <c r="AU9" s="8"/>
      <c r="AV9" s="8"/>
      <c r="AW9" s="8"/>
      <c r="AX9" s="8"/>
      <c r="AY9" s="8"/>
      <c r="AZ9" s="8"/>
      <c r="BA9" s="8"/>
      <c r="BB9" s="8"/>
      <c r="BC9" s="8"/>
      <c r="BD9" s="8"/>
      <c r="BE9" s="8"/>
      <c r="BF9" s="8"/>
      <c r="BG9" s="8"/>
      <c r="BH9" s="8"/>
      <c r="BI9" s="8"/>
      <c r="BJ9" s="8"/>
      <c r="BK9" s="8"/>
      <c r="BL9" s="8"/>
      <c r="BM9" s="8"/>
      <c r="BN9" s="8"/>
      <c r="BO9" s="8"/>
      <c r="BQ9" s="16"/>
      <c r="BR9" s="16" t="s">
        <v>4</v>
      </c>
      <c r="BS9" s="19">
        <f>(BS5*BQ5+BQ6*BS6+BQ7*BS7)/BQ3</f>
        <v>3.7444000000000002</v>
      </c>
      <c r="BT9" s="20">
        <f>(BT5*BQ5+BQ6*BT6+BQ7*BT7)/BQ3</f>
        <v>217.428</v>
      </c>
      <c r="BU9" s="20">
        <f>(BU5*BQ5+BU6*BQ6+BQ7*BU7)/BQ3</f>
        <v>41.351999999999997</v>
      </c>
      <c r="BV9" s="19">
        <f>BT9/BU9</f>
        <v>5.2579802669762046</v>
      </c>
      <c r="BW9" s="19">
        <f>(BW5*BQ5+BW6*BQ6+BQ7*BW7)/BQ3</f>
        <v>25.568000000000005</v>
      </c>
    </row>
    <row r="10" spans="1:98" s="9" customFormat="1" ht="25.5" customHeight="1" x14ac:dyDescent="0.8">
      <c r="A10" s="6"/>
      <c r="B10" s="6"/>
      <c r="C10" s="6"/>
      <c r="D10" s="6"/>
      <c r="E10" s="6"/>
      <c r="F10" s="6"/>
      <c r="G10" s="6"/>
      <c r="H10" s="6"/>
      <c r="I10" s="6"/>
      <c r="J10" s="6"/>
      <c r="K10" s="6"/>
      <c r="L10" s="6"/>
      <c r="M10" s="6"/>
      <c r="N10" s="6"/>
      <c r="O10" s="6"/>
      <c r="P10" s="6"/>
      <c r="Q10" s="6"/>
      <c r="R10" s="6"/>
      <c r="S10" s="6"/>
      <c r="T10" s="6"/>
      <c r="U10" s="6"/>
      <c r="V10" s="7"/>
      <c r="W10" s="7"/>
      <c r="X10" s="7"/>
      <c r="Y10" s="7"/>
      <c r="Z10" s="7"/>
      <c r="AA10" s="7"/>
      <c r="AB10" s="7"/>
      <c r="AC10" s="7"/>
      <c r="AD10" s="7"/>
      <c r="AE10" s="7"/>
      <c r="AF10" s="7"/>
      <c r="AG10" s="7"/>
      <c r="AH10" s="7"/>
      <c r="AI10" s="7"/>
      <c r="AJ10" s="7"/>
      <c r="AK10" s="7"/>
      <c r="AL10" s="7"/>
      <c r="AM10" s="7"/>
      <c r="AN10" s="7"/>
      <c r="AO10" s="7"/>
      <c r="AP10" s="7"/>
      <c r="AQ10" s="7"/>
      <c r="AR10" s="8"/>
      <c r="AS10" s="8"/>
      <c r="AT10" s="8"/>
      <c r="AU10" s="8"/>
      <c r="AV10" s="8"/>
      <c r="AW10" s="8"/>
      <c r="AX10" s="8"/>
      <c r="AY10" s="8"/>
      <c r="AZ10" s="8"/>
      <c r="BA10" s="8"/>
      <c r="BB10" s="8"/>
      <c r="BC10" s="8"/>
      <c r="BD10" s="8"/>
      <c r="BE10" s="8"/>
      <c r="BF10" s="8"/>
      <c r="BG10" s="8"/>
      <c r="BH10" s="8"/>
      <c r="BI10" s="8"/>
      <c r="BJ10" s="8"/>
      <c r="BK10" s="8"/>
      <c r="BL10" s="8"/>
      <c r="BM10" s="8"/>
      <c r="BN10" s="8"/>
      <c r="BO10" s="8"/>
      <c r="BQ10" s="16"/>
      <c r="BR10" s="16" t="s">
        <v>9</v>
      </c>
      <c r="BS10" s="3">
        <v>2</v>
      </c>
      <c r="BT10" s="1">
        <v>8</v>
      </c>
      <c r="BU10" s="1">
        <v>0</v>
      </c>
      <c r="BV10" s="16"/>
      <c r="BW10" s="16"/>
      <c r="BX10" s="17" t="s">
        <v>75</v>
      </c>
    </row>
    <row r="11" spans="1:98" s="9" customFormat="1" ht="25.5" customHeight="1" x14ac:dyDescent="0.8">
      <c r="A11" s="6"/>
      <c r="B11" s="6"/>
      <c r="C11" s="18" t="s">
        <v>6</v>
      </c>
      <c r="D11" s="6"/>
      <c r="E11" s="6"/>
      <c r="F11" s="6"/>
      <c r="G11" s="6"/>
      <c r="H11" s="6"/>
      <c r="I11" s="6"/>
      <c r="J11" s="6"/>
      <c r="K11" s="6"/>
      <c r="L11" s="6"/>
      <c r="M11" s="6"/>
      <c r="N11" s="6"/>
      <c r="O11" s="6"/>
      <c r="P11" s="6"/>
      <c r="Q11" s="6"/>
      <c r="R11" s="6"/>
      <c r="S11" s="6"/>
      <c r="T11" s="6"/>
      <c r="U11" s="6"/>
      <c r="V11" s="7"/>
      <c r="W11" s="7"/>
      <c r="X11" s="7"/>
      <c r="Y11" s="7"/>
      <c r="Z11" s="7"/>
      <c r="AA11" s="7"/>
      <c r="AB11" s="7"/>
      <c r="AC11" s="7"/>
      <c r="AD11" s="7"/>
      <c r="AE11" s="7"/>
      <c r="AF11" s="7"/>
      <c r="AG11" s="7"/>
      <c r="AH11" s="7"/>
      <c r="AI11" s="7"/>
      <c r="AJ11" s="7"/>
      <c r="AK11" s="7"/>
      <c r="AL11" s="7"/>
      <c r="AM11" s="7"/>
      <c r="AN11" s="7"/>
      <c r="AO11" s="7"/>
      <c r="AP11" s="7"/>
      <c r="AQ11" s="7"/>
      <c r="AR11" s="8"/>
      <c r="AS11" s="8"/>
      <c r="AT11" s="8"/>
      <c r="AU11" s="8"/>
      <c r="AV11" s="8"/>
      <c r="AW11" s="8"/>
      <c r="AX11" s="8"/>
      <c r="AY11" s="8"/>
      <c r="AZ11" s="8"/>
      <c r="BA11" s="8"/>
      <c r="BB11" s="8"/>
      <c r="BC11" s="8"/>
      <c r="BD11" s="15" t="s">
        <v>51</v>
      </c>
      <c r="BE11" s="8"/>
      <c r="BF11" s="8"/>
      <c r="BG11" s="8"/>
      <c r="BH11" s="8"/>
      <c r="BI11" s="8"/>
      <c r="BJ11" s="8"/>
      <c r="BK11" s="8"/>
      <c r="BL11" s="8"/>
      <c r="BM11" s="8"/>
      <c r="BN11" s="8"/>
      <c r="BO11" s="8"/>
      <c r="BQ11" s="16"/>
      <c r="BR11" s="16" t="s">
        <v>10</v>
      </c>
      <c r="BS11" s="19">
        <f>BS9*(100-BS10)/100</f>
        <v>3.6695120000000001</v>
      </c>
      <c r="BT11" s="20">
        <f>BT9*(100-BT10)/100</f>
        <v>200.03376</v>
      </c>
      <c r="BU11" s="20">
        <f>BU9*(100-BU10)/100</f>
        <v>41.351999999999997</v>
      </c>
      <c r="BV11" s="19">
        <f>BT11/BU11</f>
        <v>4.8373418456181083</v>
      </c>
      <c r="BW11" s="16"/>
      <c r="BX11" s="17" t="s">
        <v>77</v>
      </c>
    </row>
    <row r="12" spans="1:98" s="9" customFormat="1" ht="25.5" customHeight="1" x14ac:dyDescent="0.8">
      <c r="A12" s="6"/>
      <c r="B12" s="6"/>
      <c r="C12" s="57">
        <f>BS33</f>
        <v>2.0105285300000002</v>
      </c>
      <c r="D12" s="57"/>
      <c r="E12" s="6" t="s">
        <v>58</v>
      </c>
      <c r="F12" s="6"/>
      <c r="G12" s="6"/>
      <c r="H12" s="6"/>
      <c r="I12" s="6"/>
      <c r="J12" s="6"/>
      <c r="K12" s="6"/>
      <c r="L12" s="6"/>
      <c r="M12" s="6"/>
      <c r="N12" s="6"/>
      <c r="O12" s="6"/>
      <c r="P12" s="6"/>
      <c r="Q12" s="6"/>
      <c r="R12" s="6"/>
      <c r="S12" s="6"/>
      <c r="T12" s="6"/>
      <c r="U12" s="6"/>
      <c r="V12" s="7"/>
      <c r="W12" s="7"/>
      <c r="X12" s="7"/>
      <c r="Y12" s="7"/>
      <c r="Z12" s="7"/>
      <c r="AA12" s="7"/>
      <c r="AB12" s="7"/>
      <c r="AC12" s="7"/>
      <c r="AD12" s="7"/>
      <c r="AE12" s="7"/>
      <c r="AF12" s="7"/>
      <c r="AG12" s="7"/>
      <c r="AH12" s="7"/>
      <c r="AI12" s="7"/>
      <c r="AJ12" s="7"/>
      <c r="AK12" s="7"/>
      <c r="AL12" s="7"/>
      <c r="AM12" s="7"/>
      <c r="AN12" s="7"/>
      <c r="AO12" s="7"/>
      <c r="AP12" s="7"/>
      <c r="AQ12" s="7"/>
      <c r="AR12" s="8"/>
      <c r="AS12" s="8"/>
      <c r="AT12" s="8"/>
      <c r="AU12" s="8"/>
      <c r="AV12" s="8"/>
      <c r="AW12" s="8"/>
      <c r="AX12" s="8"/>
      <c r="AY12" s="8"/>
      <c r="AZ12" s="8"/>
      <c r="BA12" s="8"/>
      <c r="BB12" s="8"/>
      <c r="BC12" s="8"/>
      <c r="BD12" s="43">
        <f>BS26</f>
        <v>3.8328570000000002</v>
      </c>
      <c r="BE12" s="43"/>
      <c r="BF12" s="8" t="s">
        <v>58</v>
      </c>
      <c r="BG12" s="8"/>
      <c r="BH12" s="8"/>
      <c r="BI12" s="8"/>
      <c r="BJ12" s="8"/>
      <c r="BK12" s="8"/>
      <c r="BL12" s="8"/>
      <c r="BM12" s="8"/>
      <c r="BN12" s="8"/>
      <c r="BO12" s="8"/>
      <c r="BQ12" s="13" t="s">
        <v>44</v>
      </c>
      <c r="BR12" s="16"/>
      <c r="BS12" s="16"/>
      <c r="BT12" s="20"/>
      <c r="BU12" s="20"/>
      <c r="BV12" s="16"/>
      <c r="BW12" s="16"/>
    </row>
    <row r="13" spans="1:98" s="9" customFormat="1" ht="25.5" customHeight="1" x14ac:dyDescent="0.8">
      <c r="A13" s="6"/>
      <c r="B13" s="6"/>
      <c r="C13" s="58">
        <f>BT33</f>
        <v>177.75</v>
      </c>
      <c r="D13" s="58"/>
      <c r="E13" s="6" t="s">
        <v>2</v>
      </c>
      <c r="F13" s="6"/>
      <c r="G13" s="6"/>
      <c r="H13" s="6"/>
      <c r="I13" s="6"/>
      <c r="J13" s="6"/>
      <c r="K13" s="6"/>
      <c r="L13" s="6"/>
      <c r="M13" s="6"/>
      <c r="N13" s="6"/>
      <c r="O13" s="6"/>
      <c r="P13" s="6"/>
      <c r="Q13" s="6"/>
      <c r="R13" s="6"/>
      <c r="S13" s="6"/>
      <c r="T13" s="6"/>
      <c r="U13" s="6"/>
      <c r="V13" s="7"/>
      <c r="W13" s="7"/>
      <c r="X13" s="7"/>
      <c r="Y13" s="7"/>
      <c r="Z13" s="7"/>
      <c r="AA13" s="7"/>
      <c r="AB13" s="7"/>
      <c r="AC13" s="7"/>
      <c r="AD13" s="7"/>
      <c r="AE13" s="7"/>
      <c r="AF13" s="7"/>
      <c r="AG13" s="7"/>
      <c r="AH13" s="7"/>
      <c r="AI13" s="7"/>
      <c r="AJ13" s="7"/>
      <c r="AK13" s="7"/>
      <c r="AL13" s="7"/>
      <c r="AM13" s="7"/>
      <c r="AN13" s="7"/>
      <c r="AO13" s="7"/>
      <c r="AP13" s="7"/>
      <c r="AQ13" s="7"/>
      <c r="AR13" s="8"/>
      <c r="AS13" s="8"/>
      <c r="AT13" s="8"/>
      <c r="AU13" s="8"/>
      <c r="AV13" s="8"/>
      <c r="AW13" s="8"/>
      <c r="AX13" s="8"/>
      <c r="AY13" s="8"/>
      <c r="AZ13" s="8"/>
      <c r="BA13" s="8"/>
      <c r="BB13" s="8"/>
      <c r="BC13" s="8"/>
      <c r="BD13" s="44">
        <f>BP20</f>
        <v>0</v>
      </c>
      <c r="BE13" s="44"/>
      <c r="BF13" s="8" t="s">
        <v>2</v>
      </c>
      <c r="BG13" s="8"/>
      <c r="BH13" s="8"/>
      <c r="BI13" s="8"/>
      <c r="BJ13" s="8"/>
      <c r="BK13" s="8"/>
      <c r="BL13" s="8"/>
      <c r="BM13" s="8"/>
      <c r="BN13" s="8"/>
      <c r="BO13" s="8"/>
      <c r="BQ13" s="16"/>
      <c r="BR13" s="16" t="s">
        <v>46</v>
      </c>
      <c r="BS13" s="5">
        <v>0</v>
      </c>
      <c r="BT13" s="1">
        <v>0</v>
      </c>
      <c r="BU13" s="1">
        <v>0</v>
      </c>
      <c r="BV13" s="16"/>
      <c r="BW13" s="16"/>
    </row>
    <row r="14" spans="1:98" s="9" customFormat="1" ht="25.5" customHeight="1" x14ac:dyDescent="0.8">
      <c r="A14" s="6"/>
      <c r="B14" s="6"/>
      <c r="C14" s="58">
        <f>BU33</f>
        <v>30.96</v>
      </c>
      <c r="D14" s="58"/>
      <c r="E14" s="6" t="s">
        <v>3</v>
      </c>
      <c r="F14" s="6"/>
      <c r="G14" s="6"/>
      <c r="H14" s="6"/>
      <c r="I14" s="6"/>
      <c r="J14" s="6"/>
      <c r="K14" s="6"/>
      <c r="L14" s="6"/>
      <c r="M14" s="6"/>
      <c r="N14" s="6"/>
      <c r="O14" s="6"/>
      <c r="P14" s="6"/>
      <c r="Q14" s="6"/>
      <c r="R14" s="6"/>
      <c r="S14" s="6"/>
      <c r="T14" s="6"/>
      <c r="U14" s="6"/>
      <c r="V14" s="7"/>
      <c r="W14" s="7"/>
      <c r="X14" s="7"/>
      <c r="Y14" s="7"/>
      <c r="Z14" s="7"/>
      <c r="AA14" s="7"/>
      <c r="AB14" s="7"/>
      <c r="AC14" s="7"/>
      <c r="AD14" s="7"/>
      <c r="AE14" s="7"/>
      <c r="AF14" s="7"/>
      <c r="AG14" s="7"/>
      <c r="AH14" s="7"/>
      <c r="AI14" s="7"/>
      <c r="AJ14" s="7"/>
      <c r="AK14" s="7"/>
      <c r="AL14" s="7"/>
      <c r="AM14" s="7"/>
      <c r="AN14" s="7"/>
      <c r="AO14" s="7"/>
      <c r="AP14" s="7"/>
      <c r="AQ14" s="7"/>
      <c r="AR14" s="8"/>
      <c r="AS14" s="8"/>
      <c r="AT14" s="8"/>
      <c r="AU14" s="8"/>
      <c r="AV14" s="8"/>
      <c r="AW14" s="8"/>
      <c r="AX14" s="8"/>
      <c r="AY14" s="8"/>
      <c r="AZ14" s="8"/>
      <c r="BA14" s="8"/>
      <c r="BB14" s="8"/>
      <c r="BC14" s="8"/>
      <c r="BD14" s="45"/>
      <c r="BE14" s="45"/>
      <c r="BF14" s="8"/>
      <c r="BG14" s="8"/>
      <c r="BH14" s="8"/>
      <c r="BI14" s="8"/>
      <c r="BJ14" s="8"/>
      <c r="BK14" s="8"/>
      <c r="BL14" s="8"/>
      <c r="BM14" s="8"/>
      <c r="BN14" s="8"/>
      <c r="BO14" s="8"/>
      <c r="BQ14" s="16"/>
      <c r="BR14" s="16" t="s">
        <v>57</v>
      </c>
      <c r="BS14" s="3">
        <v>0</v>
      </c>
      <c r="BT14" s="1">
        <v>0</v>
      </c>
      <c r="BU14" s="1">
        <v>0</v>
      </c>
      <c r="BV14" s="16"/>
      <c r="BW14" s="16"/>
      <c r="BX14" s="17" t="s">
        <v>78</v>
      </c>
    </row>
    <row r="15" spans="1:98" s="9" customFormat="1" ht="25.5" customHeight="1" x14ac:dyDescent="0.8">
      <c r="A15" s="6"/>
      <c r="B15" s="6"/>
      <c r="C15" s="6"/>
      <c r="D15" s="6"/>
      <c r="E15" s="6"/>
      <c r="F15" s="6"/>
      <c r="G15" s="6"/>
      <c r="H15" s="6"/>
      <c r="I15" s="6"/>
      <c r="J15" s="6"/>
      <c r="K15" s="6"/>
      <c r="L15" s="6"/>
      <c r="M15" s="6"/>
      <c r="N15" s="6"/>
      <c r="O15" s="6"/>
      <c r="P15" s="6"/>
      <c r="Q15" s="6"/>
      <c r="R15" s="6"/>
      <c r="S15" s="6"/>
      <c r="T15" s="6"/>
      <c r="U15" s="6"/>
      <c r="V15" s="7"/>
      <c r="W15" s="7"/>
      <c r="X15" s="7"/>
      <c r="Y15" s="7"/>
      <c r="Z15" s="7"/>
      <c r="AA15" s="7"/>
      <c r="AB15" s="7"/>
      <c r="AC15" s="12" t="s">
        <v>31</v>
      </c>
      <c r="AD15" s="7"/>
      <c r="AE15" s="7"/>
      <c r="AF15" s="7"/>
      <c r="AG15" s="7"/>
      <c r="AH15" s="7"/>
      <c r="AI15" s="7"/>
      <c r="AJ15" s="7"/>
      <c r="AK15" s="7"/>
      <c r="AL15" s="7"/>
      <c r="AM15" s="7"/>
      <c r="AN15" s="7"/>
      <c r="AO15" s="7"/>
      <c r="AP15" s="7"/>
      <c r="AQ15" s="7"/>
      <c r="AR15" s="8"/>
      <c r="AS15" s="8"/>
      <c r="AT15" s="8"/>
      <c r="AU15" s="8"/>
      <c r="AV15" s="8"/>
      <c r="AW15" s="8"/>
      <c r="AX15" s="8"/>
      <c r="AY15" s="8"/>
      <c r="AZ15" s="8"/>
      <c r="BA15" s="8"/>
      <c r="BB15" s="8"/>
      <c r="BC15" s="8"/>
      <c r="BD15" s="8"/>
      <c r="BE15" s="8"/>
      <c r="BF15" s="8"/>
      <c r="BG15" s="8"/>
      <c r="BH15" s="8"/>
      <c r="BI15" s="8"/>
      <c r="BJ15" s="8"/>
      <c r="BK15" s="8"/>
      <c r="BL15" s="8"/>
      <c r="BM15" s="8"/>
      <c r="BN15" s="8"/>
      <c r="BO15" s="8"/>
      <c r="BQ15" s="16"/>
      <c r="BR15" s="16" t="s">
        <v>86</v>
      </c>
      <c r="BS15" s="16"/>
      <c r="BT15" s="5">
        <v>0</v>
      </c>
      <c r="BU15" s="20"/>
      <c r="BV15" s="16"/>
      <c r="BW15" s="16"/>
      <c r="BX15" s="17"/>
    </row>
    <row r="16" spans="1:98" s="9" customFormat="1" ht="25.5" customHeight="1" x14ac:dyDescent="0.8">
      <c r="A16" s="6"/>
      <c r="B16" s="6"/>
      <c r="C16" s="6"/>
      <c r="D16" s="6"/>
      <c r="E16" s="6"/>
      <c r="F16" s="6"/>
      <c r="G16" s="6"/>
      <c r="H16" s="6"/>
      <c r="I16" s="6"/>
      <c r="J16" s="6"/>
      <c r="K16" s="6"/>
      <c r="L16" s="6"/>
      <c r="M16" s="6"/>
      <c r="N16" s="6"/>
      <c r="O16" s="6"/>
      <c r="P16" s="6"/>
      <c r="Q16" s="6"/>
      <c r="R16" s="6"/>
      <c r="S16" s="6"/>
      <c r="T16" s="6"/>
      <c r="U16" s="6"/>
      <c r="V16" s="7"/>
      <c r="W16" s="7"/>
      <c r="X16" s="7"/>
      <c r="Y16" s="7"/>
      <c r="Z16" s="7"/>
      <c r="AA16" s="7"/>
      <c r="AB16" s="7"/>
      <c r="AC16" s="46">
        <f>BS16</f>
        <v>3.6695120000000001</v>
      </c>
      <c r="AD16" s="46"/>
      <c r="AE16" s="7" t="s">
        <v>58</v>
      </c>
      <c r="AF16" s="7"/>
      <c r="AG16" s="7"/>
      <c r="AH16" s="7"/>
      <c r="AI16" s="7"/>
      <c r="AJ16" s="7"/>
      <c r="AK16" s="7"/>
      <c r="AL16" s="7"/>
      <c r="AM16" s="7"/>
      <c r="AN16" s="7"/>
      <c r="AO16" s="7"/>
      <c r="AP16" s="7"/>
      <c r="AQ16" s="7"/>
      <c r="AR16" s="8"/>
      <c r="AS16" s="8"/>
      <c r="AT16" s="8"/>
      <c r="AU16" s="8"/>
      <c r="AV16" s="8"/>
      <c r="AW16" s="8"/>
      <c r="AX16" s="8"/>
      <c r="AY16" s="8"/>
      <c r="AZ16" s="8"/>
      <c r="BA16" s="8"/>
      <c r="BB16" s="8"/>
      <c r="BC16" s="8"/>
      <c r="BD16" s="8"/>
      <c r="BE16" s="8"/>
      <c r="BF16" s="8"/>
      <c r="BG16" s="8"/>
      <c r="BH16" s="8"/>
      <c r="BI16" s="8"/>
      <c r="BJ16" s="8"/>
      <c r="BK16" s="8"/>
      <c r="BL16" s="8"/>
      <c r="BM16" s="8"/>
      <c r="BN16" s="8"/>
      <c r="BO16" s="8"/>
      <c r="BQ16" s="16"/>
      <c r="BR16" s="16" t="s">
        <v>31</v>
      </c>
      <c r="BS16" s="19">
        <f>BS11-BS13-(BS14/100*BS11)</f>
        <v>3.6695120000000001</v>
      </c>
      <c r="BT16" s="20">
        <f t="shared" ref="BT16:BU16" si="0">BT11-BT13-(BT14/100*BT11)</f>
        <v>200.03376</v>
      </c>
      <c r="BU16" s="20">
        <f t="shared" si="0"/>
        <v>41.351999999999997</v>
      </c>
      <c r="BV16" s="19">
        <f>BT16/BU16</f>
        <v>4.8373418456181083</v>
      </c>
      <c r="BW16" s="16"/>
    </row>
    <row r="17" spans="1:77" s="9" customFormat="1" ht="25.5" customHeight="1" x14ac:dyDescent="0.8">
      <c r="A17" s="6"/>
      <c r="B17" s="6"/>
      <c r="C17" s="6"/>
      <c r="D17" s="6"/>
      <c r="E17" s="6"/>
      <c r="F17" s="6"/>
      <c r="G17" s="6"/>
      <c r="H17" s="6"/>
      <c r="I17" s="6"/>
      <c r="J17" s="6"/>
      <c r="K17" s="6"/>
      <c r="L17" s="6"/>
      <c r="M17" s="6"/>
      <c r="N17" s="6"/>
      <c r="O17" s="6"/>
      <c r="P17" s="6"/>
      <c r="Q17" s="6"/>
      <c r="R17" s="6"/>
      <c r="S17" s="6"/>
      <c r="T17" s="6"/>
      <c r="U17" s="6"/>
      <c r="V17" s="7"/>
      <c r="W17" s="7"/>
      <c r="X17" s="7"/>
      <c r="Y17" s="7"/>
      <c r="Z17" s="7"/>
      <c r="AA17" s="7"/>
      <c r="AB17" s="7"/>
      <c r="AC17" s="48">
        <f>BT16</f>
        <v>200.03376</v>
      </c>
      <c r="AD17" s="51"/>
      <c r="AE17" s="7" t="s">
        <v>2</v>
      </c>
      <c r="AF17" s="7"/>
      <c r="AG17" s="7"/>
      <c r="AH17" s="7"/>
      <c r="AI17" s="7"/>
      <c r="AJ17" s="7"/>
      <c r="AK17" s="7"/>
      <c r="AL17" s="7"/>
      <c r="AM17" s="7"/>
      <c r="AN17" s="12" t="s">
        <v>5</v>
      </c>
      <c r="AO17" s="7"/>
      <c r="AP17" s="7"/>
      <c r="AQ17" s="7"/>
      <c r="AR17" s="8"/>
      <c r="AS17" s="8"/>
      <c r="AT17" s="8"/>
      <c r="AU17" s="8"/>
      <c r="AV17" s="8"/>
      <c r="AW17" s="8"/>
      <c r="AX17" s="8"/>
      <c r="AY17" s="8"/>
      <c r="AZ17" s="8"/>
      <c r="BA17" s="8"/>
      <c r="BB17" s="8"/>
      <c r="BC17" s="8"/>
      <c r="BD17" s="8"/>
      <c r="BE17" s="8"/>
      <c r="BF17" s="8"/>
      <c r="BG17" s="8"/>
      <c r="BH17" s="8"/>
      <c r="BI17" s="8"/>
      <c r="BJ17" s="8"/>
      <c r="BK17" s="8"/>
      <c r="BL17" s="8"/>
      <c r="BM17" s="8"/>
      <c r="BN17" s="8"/>
      <c r="BO17" s="8"/>
      <c r="BQ17" s="13" t="s">
        <v>42</v>
      </c>
      <c r="BR17" s="16"/>
      <c r="BS17" s="16"/>
      <c r="BT17" s="20"/>
      <c r="BU17" s="20"/>
      <c r="BV17" s="16"/>
      <c r="BW17" s="16"/>
    </row>
    <row r="18" spans="1:77" s="9" customFormat="1" ht="25.5" customHeight="1" x14ac:dyDescent="0.8">
      <c r="A18" s="6"/>
      <c r="B18" s="6"/>
      <c r="C18" s="6"/>
      <c r="D18" s="6"/>
      <c r="E18" s="6"/>
      <c r="F18" s="6"/>
      <c r="G18" s="6"/>
      <c r="H18" s="6"/>
      <c r="I18" s="6"/>
      <c r="J18" s="6"/>
      <c r="K18" s="6"/>
      <c r="L18" s="6"/>
      <c r="M18" s="6"/>
      <c r="N18" s="6"/>
      <c r="O18" s="6"/>
      <c r="P18" s="6"/>
      <c r="Q18" s="6"/>
      <c r="R18" s="6"/>
      <c r="S18" s="18" t="s">
        <v>4</v>
      </c>
      <c r="T18" s="6"/>
      <c r="U18" s="6"/>
      <c r="V18" s="7"/>
      <c r="W18" s="7"/>
      <c r="X18" s="7"/>
      <c r="Y18" s="7"/>
      <c r="Z18" s="7"/>
      <c r="AA18" s="7"/>
      <c r="AB18" s="7"/>
      <c r="AC18" s="48">
        <f>BU16</f>
        <v>41.351999999999997</v>
      </c>
      <c r="AD18" s="48"/>
      <c r="AE18" s="7" t="s">
        <v>3</v>
      </c>
      <c r="AF18" s="7"/>
      <c r="AG18" s="7"/>
      <c r="AH18" s="7"/>
      <c r="AI18" s="7"/>
      <c r="AJ18" s="7"/>
      <c r="AK18" s="7"/>
      <c r="AL18" s="7"/>
      <c r="AM18" s="7"/>
      <c r="AN18" s="46">
        <f>BS19</f>
        <v>3.5227315199999998</v>
      </c>
      <c r="AO18" s="46"/>
      <c r="AP18" s="7" t="s">
        <v>58</v>
      </c>
      <c r="AQ18" s="7"/>
      <c r="AR18" s="8"/>
      <c r="AS18" s="8"/>
      <c r="AT18" s="8"/>
      <c r="AU18" s="8"/>
      <c r="AV18" s="8"/>
      <c r="AW18" s="8"/>
      <c r="AX18" s="8"/>
      <c r="AY18" s="8"/>
      <c r="AZ18" s="8"/>
      <c r="BA18" s="8"/>
      <c r="BB18" s="8"/>
      <c r="BC18" s="8"/>
      <c r="BD18" s="8"/>
      <c r="BE18" s="8"/>
      <c r="BF18" s="8"/>
      <c r="BG18" s="8"/>
      <c r="BH18" s="15" t="s">
        <v>37</v>
      </c>
      <c r="BI18" s="8"/>
      <c r="BJ18" s="8"/>
      <c r="BK18" s="8"/>
      <c r="BL18" s="8"/>
      <c r="BM18" s="8"/>
      <c r="BN18" s="8"/>
      <c r="BO18" s="8"/>
      <c r="BQ18" s="21" t="s">
        <v>1</v>
      </c>
      <c r="BR18" s="16" t="s">
        <v>11</v>
      </c>
      <c r="BS18" s="3">
        <v>4</v>
      </c>
      <c r="BT18" s="1">
        <v>15</v>
      </c>
      <c r="BU18" s="1">
        <v>0</v>
      </c>
      <c r="BV18" s="16"/>
      <c r="BW18" s="16"/>
      <c r="BX18" s="17" t="s">
        <v>79</v>
      </c>
    </row>
    <row r="19" spans="1:77" s="9" customFormat="1" ht="25.5" customHeight="1" x14ac:dyDescent="0.8">
      <c r="A19" s="6"/>
      <c r="B19" s="6"/>
      <c r="C19" s="6"/>
      <c r="D19" s="6"/>
      <c r="E19" s="6"/>
      <c r="F19" s="6"/>
      <c r="G19" s="6"/>
      <c r="H19" s="6"/>
      <c r="I19" s="6"/>
      <c r="J19" s="6"/>
      <c r="K19" s="6"/>
      <c r="L19" s="6"/>
      <c r="M19" s="6"/>
      <c r="N19" s="6"/>
      <c r="O19" s="6"/>
      <c r="P19" s="6"/>
      <c r="Q19" s="6"/>
      <c r="R19" s="6"/>
      <c r="S19" s="52">
        <f>BS9</f>
        <v>3.7444000000000002</v>
      </c>
      <c r="T19" s="52"/>
      <c r="U19" s="6" t="s">
        <v>58</v>
      </c>
      <c r="V19" s="7"/>
      <c r="W19" s="7"/>
      <c r="X19" s="7"/>
      <c r="Y19" s="7"/>
      <c r="Z19" s="7"/>
      <c r="AA19" s="7"/>
      <c r="AB19" s="7"/>
      <c r="AC19" s="47">
        <f>BV16</f>
        <v>4.8373418456181083</v>
      </c>
      <c r="AD19" s="47"/>
      <c r="AE19" s="7" t="s">
        <v>7</v>
      </c>
      <c r="AF19" s="7"/>
      <c r="AG19" s="7"/>
      <c r="AH19" s="7"/>
      <c r="AI19" s="7"/>
      <c r="AJ19" s="7"/>
      <c r="AK19" s="7"/>
      <c r="AL19" s="7"/>
      <c r="AM19" s="7"/>
      <c r="AN19" s="48">
        <f>BT19</f>
        <v>170.02869600000002</v>
      </c>
      <c r="AO19" s="48"/>
      <c r="AP19" s="7" t="s">
        <v>2</v>
      </c>
      <c r="AQ19" s="7"/>
      <c r="AR19" s="8"/>
      <c r="AS19" s="8"/>
      <c r="AT19" s="8"/>
      <c r="AU19" s="8"/>
      <c r="AV19" s="8"/>
      <c r="AW19" s="8"/>
      <c r="AX19" s="8"/>
      <c r="AY19" s="8"/>
      <c r="AZ19" s="8"/>
      <c r="BA19" s="8"/>
      <c r="BB19" s="8"/>
      <c r="BC19" s="8"/>
      <c r="BD19" s="8"/>
      <c r="BE19" s="8"/>
      <c r="BF19" s="8"/>
      <c r="BG19" s="8"/>
      <c r="BH19" s="43">
        <f>BS28</f>
        <v>0</v>
      </c>
      <c r="BI19" s="43"/>
      <c r="BJ19" s="8" t="s">
        <v>58</v>
      </c>
      <c r="BK19" s="8"/>
      <c r="BL19" s="8"/>
      <c r="BM19" s="8"/>
      <c r="BN19" s="8"/>
      <c r="BO19" s="8"/>
      <c r="BQ19" s="16"/>
      <c r="BR19" s="16" t="s">
        <v>5</v>
      </c>
      <c r="BS19" s="19">
        <f>(BS16)*(100-BS18)/100</f>
        <v>3.5227315199999998</v>
      </c>
      <c r="BT19" s="20">
        <f>(BT16)*(100-BT18)/100</f>
        <v>170.02869600000002</v>
      </c>
      <c r="BU19" s="20">
        <f>(BU16)*(100-BU18)/100</f>
        <v>41.351999999999997</v>
      </c>
      <c r="BV19" s="19">
        <f>BT19/BU19</f>
        <v>4.1117405687753923</v>
      </c>
      <c r="BW19" s="16"/>
    </row>
    <row r="20" spans="1:77" s="9" customFormat="1" ht="25.5" customHeight="1" x14ac:dyDescent="0.8">
      <c r="A20" s="6"/>
      <c r="B20" s="6"/>
      <c r="C20" s="6"/>
      <c r="D20" s="6"/>
      <c r="E20" s="6"/>
      <c r="F20" s="6"/>
      <c r="G20" s="6"/>
      <c r="H20" s="6"/>
      <c r="I20" s="6"/>
      <c r="J20" s="6"/>
      <c r="K20" s="6"/>
      <c r="L20" s="6"/>
      <c r="M20" s="6"/>
      <c r="N20" s="6"/>
      <c r="O20" s="6"/>
      <c r="P20" s="6"/>
      <c r="Q20" s="6"/>
      <c r="R20" s="6"/>
      <c r="S20" s="58">
        <f>BT9</f>
        <v>217.428</v>
      </c>
      <c r="T20" s="58"/>
      <c r="U20" s="6" t="s">
        <v>2</v>
      </c>
      <c r="V20" s="7"/>
      <c r="W20" s="7"/>
      <c r="X20" s="7"/>
      <c r="Y20" s="7"/>
      <c r="Z20" s="7"/>
      <c r="AA20" s="7"/>
      <c r="AB20" s="7"/>
      <c r="AC20" s="7"/>
      <c r="AD20" s="7"/>
      <c r="AE20" s="7"/>
      <c r="AF20" s="7"/>
      <c r="AG20" s="7"/>
      <c r="AH20" s="7"/>
      <c r="AI20" s="7"/>
      <c r="AJ20" s="7"/>
      <c r="AK20" s="7"/>
      <c r="AL20" s="7"/>
      <c r="AM20" s="7"/>
      <c r="AN20" s="48">
        <f>BU19</f>
        <v>41.351999999999997</v>
      </c>
      <c r="AO20" s="48"/>
      <c r="AP20" s="7" t="s">
        <v>3</v>
      </c>
      <c r="AQ20" s="7"/>
      <c r="AR20" s="8"/>
      <c r="AS20" s="8"/>
      <c r="AT20" s="8"/>
      <c r="AU20" s="8"/>
      <c r="AV20" s="8"/>
      <c r="AW20" s="8"/>
      <c r="AX20" s="8"/>
      <c r="AY20" s="8"/>
      <c r="AZ20" s="8"/>
      <c r="BA20" s="8"/>
      <c r="BB20" s="8"/>
      <c r="BC20" s="8"/>
      <c r="BD20" s="8"/>
      <c r="BE20" s="8"/>
      <c r="BF20" s="8"/>
      <c r="BG20" s="8"/>
      <c r="BH20" s="44">
        <f>BT28</f>
        <v>98.120478034782607</v>
      </c>
      <c r="BI20" s="44"/>
      <c r="BJ20" s="8" t="s">
        <v>2</v>
      </c>
      <c r="BK20" s="8"/>
      <c r="BL20" s="8"/>
      <c r="BM20" s="8"/>
      <c r="BN20" s="8"/>
      <c r="BO20" s="8"/>
      <c r="BQ20" s="16"/>
      <c r="BR20" s="16" t="s">
        <v>18</v>
      </c>
      <c r="BS20" s="3">
        <v>2</v>
      </c>
      <c r="BT20" s="1">
        <v>25</v>
      </c>
      <c r="BU20" s="20">
        <v>0</v>
      </c>
      <c r="BV20" s="16"/>
      <c r="BW20" s="16"/>
      <c r="BX20" s="17" t="s">
        <v>80</v>
      </c>
    </row>
    <row r="21" spans="1:77" s="9" customFormat="1" ht="25.5" customHeight="1" x14ac:dyDescent="0.8">
      <c r="A21" s="6"/>
      <c r="B21" s="6"/>
      <c r="C21" s="6"/>
      <c r="D21" s="6"/>
      <c r="E21" s="6"/>
      <c r="F21" s="6"/>
      <c r="G21" s="6"/>
      <c r="H21" s="6"/>
      <c r="I21" s="6"/>
      <c r="J21" s="6"/>
      <c r="K21" s="6"/>
      <c r="L21" s="6"/>
      <c r="M21" s="6"/>
      <c r="N21" s="6"/>
      <c r="O21" s="6"/>
      <c r="P21" s="6"/>
      <c r="Q21" s="6"/>
      <c r="R21" s="6"/>
      <c r="S21" s="58">
        <f>BU9</f>
        <v>41.351999999999997</v>
      </c>
      <c r="T21" s="58"/>
      <c r="U21" s="6" t="s">
        <v>3</v>
      </c>
      <c r="V21" s="7"/>
      <c r="W21" s="7"/>
      <c r="X21" s="7"/>
      <c r="Y21" s="7"/>
      <c r="Z21" s="7"/>
      <c r="AA21" s="7"/>
      <c r="AB21" s="7"/>
      <c r="AC21" s="7"/>
      <c r="AD21" s="7"/>
      <c r="AE21" s="7"/>
      <c r="AF21" s="7"/>
      <c r="AG21" s="7"/>
      <c r="AH21" s="7"/>
      <c r="AI21" s="7"/>
      <c r="AJ21" s="7"/>
      <c r="AK21" s="7"/>
      <c r="AL21" s="7"/>
      <c r="AM21" s="7"/>
      <c r="AN21" s="47">
        <f>BV19</f>
        <v>4.1117405687753923</v>
      </c>
      <c r="AO21" s="47"/>
      <c r="AP21" s="7" t="s">
        <v>7</v>
      </c>
      <c r="AQ21" s="7"/>
      <c r="AR21" s="8"/>
      <c r="AS21" s="8"/>
      <c r="AT21" s="8"/>
      <c r="AU21" s="8"/>
      <c r="AV21" s="8"/>
      <c r="AW21" s="8"/>
      <c r="AX21" s="8"/>
      <c r="AY21" s="8"/>
      <c r="AZ21" s="8"/>
      <c r="BA21" s="8"/>
      <c r="BB21" s="8"/>
      <c r="BC21" s="8"/>
      <c r="BD21" s="8"/>
      <c r="BE21" s="8"/>
      <c r="BF21" s="8"/>
      <c r="BG21" s="8"/>
      <c r="BH21" s="50">
        <f>BU28</f>
        <v>0</v>
      </c>
      <c r="BI21" s="50"/>
      <c r="BJ21" s="8" t="s">
        <v>3</v>
      </c>
      <c r="BK21" s="8"/>
      <c r="BL21" s="8"/>
      <c r="BM21" s="8"/>
      <c r="BN21" s="8"/>
      <c r="BO21" s="8"/>
      <c r="BQ21" s="16"/>
      <c r="BR21" s="16" t="s">
        <v>73</v>
      </c>
      <c r="BS21" s="16"/>
      <c r="BT21" s="5">
        <f>2.1*7/23</f>
        <v>0.63913043478260878</v>
      </c>
      <c r="BU21" s="20"/>
      <c r="BV21" s="16"/>
      <c r="BW21" s="16"/>
      <c r="BX21" s="17" t="s">
        <v>81</v>
      </c>
    </row>
    <row r="22" spans="1:77" s="9" customFormat="1" ht="25.5" customHeight="1" x14ac:dyDescent="0.8">
      <c r="A22" s="6"/>
      <c r="B22" s="6"/>
      <c r="C22" s="18" t="s">
        <v>55</v>
      </c>
      <c r="D22" s="6"/>
      <c r="E22" s="6"/>
      <c r="F22" s="6"/>
      <c r="G22" s="6"/>
      <c r="H22" s="6"/>
      <c r="I22" s="6"/>
      <c r="J22" s="6"/>
      <c r="K22" s="6"/>
      <c r="L22" s="6"/>
      <c r="M22" s="6"/>
      <c r="N22" s="6"/>
      <c r="O22" s="6"/>
      <c r="P22" s="6"/>
      <c r="Q22" s="6"/>
      <c r="R22" s="6"/>
      <c r="S22" s="52">
        <f>BV9</f>
        <v>5.2579802669762046</v>
      </c>
      <c r="T22" s="52"/>
      <c r="U22" s="6" t="s">
        <v>7</v>
      </c>
      <c r="V22" s="7"/>
      <c r="W22" s="7"/>
      <c r="X22" s="7"/>
      <c r="Y22" s="7"/>
      <c r="Z22" s="7"/>
      <c r="AA22" s="7"/>
      <c r="AB22" s="7"/>
      <c r="AC22" s="7"/>
      <c r="AD22" s="7"/>
      <c r="AE22" s="7"/>
      <c r="AF22" s="7"/>
      <c r="AG22" s="7"/>
      <c r="AH22" s="7"/>
      <c r="AI22" s="7"/>
      <c r="AJ22" s="7"/>
      <c r="AK22" s="7"/>
      <c r="AL22" s="7"/>
      <c r="AM22" s="7"/>
      <c r="AN22" s="7"/>
      <c r="AO22" s="7"/>
      <c r="AP22" s="7"/>
      <c r="AQ22" s="7"/>
      <c r="AR22" s="8"/>
      <c r="AS22" s="8"/>
      <c r="AT22" s="8"/>
      <c r="AU22" s="8"/>
      <c r="AV22" s="8"/>
      <c r="AW22" s="8"/>
      <c r="AX22" s="8"/>
      <c r="AY22" s="8"/>
      <c r="AZ22" s="8"/>
      <c r="BA22" s="8"/>
      <c r="BB22" s="8"/>
      <c r="BC22" s="8"/>
      <c r="BD22" s="8"/>
      <c r="BE22" s="8"/>
      <c r="BF22" s="8"/>
      <c r="BG22" s="8"/>
      <c r="BH22" s="8"/>
      <c r="BI22" s="8"/>
      <c r="BJ22" s="8"/>
      <c r="BK22" s="8"/>
      <c r="BL22" s="8"/>
      <c r="BM22" s="8"/>
      <c r="BN22" s="8"/>
      <c r="BO22" s="8"/>
      <c r="BQ22" s="16"/>
      <c r="BR22" s="16" t="s">
        <v>19</v>
      </c>
      <c r="BS22" s="3">
        <v>98</v>
      </c>
      <c r="BT22" s="1">
        <v>10</v>
      </c>
      <c r="BU22" s="20">
        <f>(BU19-BU24)/BU19*100</f>
        <v>54.053008318823757</v>
      </c>
      <c r="BV22" s="16"/>
      <c r="BW22" s="16"/>
    </row>
    <row r="23" spans="1:77" s="9" customFormat="1" ht="25.5" customHeight="1" x14ac:dyDescent="0.8">
      <c r="A23" s="6"/>
      <c r="B23" s="6"/>
      <c r="C23" s="56">
        <f>BS34</f>
        <v>1.1609189999999998</v>
      </c>
      <c r="D23" s="56"/>
      <c r="E23" s="6" t="s">
        <v>66</v>
      </c>
      <c r="F23" s="6"/>
      <c r="G23" s="6"/>
      <c r="H23" s="6"/>
      <c r="I23" s="6"/>
      <c r="J23" s="6"/>
      <c r="K23" s="6"/>
      <c r="L23" s="6"/>
      <c r="M23" s="6"/>
      <c r="N23" s="6"/>
      <c r="O23" s="6"/>
      <c r="P23" s="6"/>
      <c r="Q23" s="6"/>
      <c r="R23" s="6"/>
      <c r="S23" s="6"/>
      <c r="T23" s="6"/>
      <c r="U23" s="6"/>
      <c r="V23" s="7"/>
      <c r="W23" s="7"/>
      <c r="X23" s="7"/>
      <c r="Y23" s="7"/>
      <c r="Z23" s="7"/>
      <c r="AA23" s="7"/>
      <c r="AB23" s="7"/>
      <c r="AC23" s="7"/>
      <c r="AD23" s="7"/>
      <c r="AE23" s="7"/>
      <c r="AF23" s="7"/>
      <c r="AG23" s="7"/>
      <c r="AH23" s="7"/>
      <c r="AI23" s="7"/>
      <c r="AJ23" s="7"/>
      <c r="AK23" s="7"/>
      <c r="AL23" s="7"/>
      <c r="AM23" s="7"/>
      <c r="AN23" s="7"/>
      <c r="AO23" s="7"/>
      <c r="AP23" s="7"/>
      <c r="AQ23" s="7"/>
      <c r="AR23" s="8"/>
      <c r="AS23" s="8"/>
      <c r="AT23" s="8"/>
      <c r="AU23" s="8"/>
      <c r="AV23" s="8"/>
      <c r="AW23" s="8"/>
      <c r="AX23" s="8"/>
      <c r="AY23" s="8"/>
      <c r="AZ23" s="8"/>
      <c r="BA23" s="8"/>
      <c r="BB23" s="8"/>
      <c r="BC23" s="8"/>
      <c r="BD23" s="8"/>
      <c r="BE23" s="8"/>
      <c r="BF23" s="8"/>
      <c r="BG23" s="8"/>
      <c r="BH23" s="8"/>
      <c r="BI23" s="8"/>
      <c r="BJ23" s="8"/>
      <c r="BK23" s="8"/>
      <c r="BL23" s="8"/>
      <c r="BM23" s="8"/>
      <c r="BN23" s="8"/>
      <c r="BO23" s="8"/>
      <c r="BQ23" s="13" t="s">
        <v>65</v>
      </c>
      <c r="BR23" s="16"/>
      <c r="BS23" s="16"/>
      <c r="BT23" s="20"/>
      <c r="BU23" s="20"/>
      <c r="BV23" s="16"/>
      <c r="BW23" s="16"/>
    </row>
    <row r="24" spans="1:77" s="9" customFormat="1" ht="25.5" customHeight="1" x14ac:dyDescent="0.8">
      <c r="A24" s="6"/>
      <c r="B24" s="6"/>
      <c r="C24" s="56">
        <f>BS35</f>
        <v>2.8776600000000003E-2</v>
      </c>
      <c r="D24" s="60"/>
      <c r="E24" s="6" t="s">
        <v>67</v>
      </c>
      <c r="F24" s="6"/>
      <c r="G24" s="6"/>
      <c r="H24" s="6"/>
      <c r="I24" s="6"/>
      <c r="J24" s="6"/>
      <c r="K24" s="6"/>
      <c r="L24" s="6"/>
      <c r="M24" s="6"/>
      <c r="N24" s="6"/>
      <c r="O24" s="6"/>
      <c r="P24" s="6"/>
      <c r="Q24" s="6"/>
      <c r="R24" s="6"/>
      <c r="S24" s="6"/>
      <c r="T24" s="6"/>
      <c r="U24" s="6"/>
      <c r="V24" s="62" t="s">
        <v>60</v>
      </c>
      <c r="W24" s="62"/>
      <c r="X24" s="62"/>
      <c r="Y24" s="62"/>
      <c r="Z24" s="62"/>
      <c r="AA24" s="62"/>
      <c r="AB24" s="62"/>
      <c r="AC24" s="62"/>
      <c r="AD24" s="62"/>
      <c r="AE24" s="62"/>
      <c r="AF24" s="62"/>
      <c r="AG24" s="62"/>
      <c r="AH24" s="62"/>
      <c r="AI24" s="62"/>
      <c r="AJ24" s="62"/>
      <c r="AK24" s="62"/>
      <c r="AL24" s="62"/>
      <c r="AM24" s="62"/>
      <c r="AN24" s="62"/>
      <c r="AO24" s="62"/>
      <c r="AP24" s="62"/>
      <c r="AQ24" s="62"/>
      <c r="AR24" s="8"/>
      <c r="AS24" s="8"/>
      <c r="AT24" s="8"/>
      <c r="AU24" s="8"/>
      <c r="AV24" s="8"/>
      <c r="AW24" s="8"/>
      <c r="AX24" s="8"/>
      <c r="AY24" s="8"/>
      <c r="AZ24" s="8"/>
      <c r="BA24" s="8"/>
      <c r="BB24" s="8"/>
      <c r="BC24" s="8"/>
      <c r="BD24" s="8"/>
      <c r="BE24" s="8"/>
      <c r="BF24" s="8"/>
      <c r="BG24" s="8"/>
      <c r="BH24" s="8"/>
      <c r="BI24" s="8"/>
      <c r="BJ24" s="8"/>
      <c r="BK24" s="8"/>
      <c r="BL24" s="8"/>
      <c r="BM24" s="8"/>
      <c r="BN24" s="8"/>
      <c r="BO24" s="8"/>
      <c r="BQ24" s="16"/>
      <c r="BR24" s="16" t="s">
        <v>54</v>
      </c>
      <c r="BS24" s="5">
        <f>8.3*0.4+8.3*1.67*0.37*0.1</f>
        <v>3.8328570000000002</v>
      </c>
      <c r="BT24" s="1">
        <v>208</v>
      </c>
      <c r="BU24" s="1">
        <v>19</v>
      </c>
      <c r="BV24" s="19">
        <f>BT24/BU24</f>
        <v>10.947368421052632</v>
      </c>
      <c r="BW24" s="16"/>
      <c r="BX24" s="17" t="s">
        <v>27</v>
      </c>
    </row>
    <row r="25" spans="1:77" s="9" customFormat="1" ht="25.5" customHeight="1" x14ac:dyDescent="0.8">
      <c r="A25" s="6"/>
      <c r="B25" s="6"/>
      <c r="C25" s="6"/>
      <c r="D25" s="6"/>
      <c r="E25" s="6"/>
      <c r="F25" s="6"/>
      <c r="G25" s="6"/>
      <c r="H25" s="6"/>
      <c r="I25" s="6"/>
      <c r="J25" s="6"/>
      <c r="K25" s="6"/>
      <c r="L25" s="6"/>
      <c r="M25" s="6"/>
      <c r="N25" s="6"/>
      <c r="O25" s="6"/>
      <c r="P25" s="6"/>
      <c r="Q25" s="6"/>
      <c r="R25" s="6"/>
      <c r="S25" s="6"/>
      <c r="T25" s="6"/>
      <c r="U25" s="6"/>
      <c r="V25" s="62"/>
      <c r="W25" s="62"/>
      <c r="X25" s="62"/>
      <c r="Y25" s="62"/>
      <c r="Z25" s="62"/>
      <c r="AA25" s="62"/>
      <c r="AB25" s="62"/>
      <c r="AC25" s="62"/>
      <c r="AD25" s="62"/>
      <c r="AE25" s="62"/>
      <c r="AF25" s="62"/>
      <c r="AG25" s="62"/>
      <c r="AH25" s="62"/>
      <c r="AI25" s="62"/>
      <c r="AJ25" s="62"/>
      <c r="AK25" s="62"/>
      <c r="AL25" s="62"/>
      <c r="AM25" s="62"/>
      <c r="AN25" s="62"/>
      <c r="AO25" s="62"/>
      <c r="AP25" s="62"/>
      <c r="AQ25" s="62"/>
      <c r="AR25" s="8"/>
      <c r="AS25" s="8"/>
      <c r="AT25" s="8"/>
      <c r="AU25" s="8"/>
      <c r="AV25" s="8"/>
      <c r="AW25" s="8"/>
      <c r="AX25" s="8"/>
      <c r="AY25" s="8"/>
      <c r="AZ25" s="8"/>
      <c r="BA25" s="8"/>
      <c r="BB25" s="8"/>
      <c r="BC25" s="8"/>
      <c r="BD25" s="8"/>
      <c r="BE25" s="8"/>
      <c r="BF25" s="8"/>
      <c r="BG25" s="8"/>
      <c r="BH25" s="8"/>
      <c r="BI25" s="8"/>
      <c r="BJ25" s="8"/>
      <c r="BK25" s="8"/>
      <c r="BL25" s="8"/>
      <c r="BM25" s="8"/>
      <c r="BN25" s="8"/>
      <c r="BO25" s="8"/>
      <c r="BQ25" s="13" t="s">
        <v>64</v>
      </c>
      <c r="BR25" s="16"/>
      <c r="BS25" s="16"/>
      <c r="BT25" s="20"/>
      <c r="BU25" s="20"/>
      <c r="BV25" s="19"/>
      <c r="BW25" s="16"/>
    </row>
    <row r="26" spans="1:77" s="9" customFormat="1" ht="25.5" customHeight="1" x14ac:dyDescent="0.8">
      <c r="A26" s="6"/>
      <c r="B26" s="6"/>
      <c r="C26" s="6"/>
      <c r="D26" s="6"/>
      <c r="E26" s="6"/>
      <c r="F26" s="6"/>
      <c r="G26" s="6"/>
      <c r="H26" s="6"/>
      <c r="I26" s="6"/>
      <c r="J26" s="6"/>
      <c r="K26" s="6"/>
      <c r="L26" s="6"/>
      <c r="M26" s="6"/>
      <c r="N26" s="6"/>
      <c r="O26" s="6"/>
      <c r="P26" s="6"/>
      <c r="Q26" s="6"/>
      <c r="R26" s="6"/>
      <c r="S26" s="6"/>
      <c r="T26" s="6"/>
      <c r="U26" s="6"/>
      <c r="V26" s="63" t="s">
        <v>40</v>
      </c>
      <c r="W26" s="63"/>
      <c r="X26" s="63"/>
      <c r="Y26" s="63"/>
      <c r="Z26" s="63"/>
      <c r="AA26" s="63"/>
      <c r="AB26" s="63"/>
      <c r="AC26" s="63"/>
      <c r="AD26" s="63"/>
      <c r="AE26" s="63"/>
      <c r="AF26" s="63"/>
      <c r="AG26" s="63"/>
      <c r="AH26" s="63"/>
      <c r="AI26" s="63"/>
      <c r="AJ26" s="63"/>
      <c r="AK26" s="63"/>
      <c r="AL26" s="63"/>
      <c r="AM26" s="63"/>
      <c r="AN26" s="63"/>
      <c r="AO26" s="63"/>
      <c r="AP26" s="63"/>
      <c r="AQ26" s="63"/>
      <c r="AR26" s="8"/>
      <c r="AS26" s="8"/>
      <c r="AT26" s="8"/>
      <c r="AU26" s="8"/>
      <c r="AV26" s="8"/>
      <c r="AW26" s="8"/>
      <c r="AX26" s="8"/>
      <c r="AY26" s="8"/>
      <c r="AZ26" s="15" t="s">
        <v>52</v>
      </c>
      <c r="BA26" s="8"/>
      <c r="BB26" s="8"/>
      <c r="BC26" s="8"/>
      <c r="BD26" s="8"/>
      <c r="BE26" s="8"/>
      <c r="BF26" s="8"/>
      <c r="BG26" s="8"/>
      <c r="BH26" s="8"/>
      <c r="BI26" s="8"/>
      <c r="BJ26" s="8"/>
      <c r="BK26" s="8"/>
      <c r="BL26" s="8"/>
      <c r="BM26" s="8"/>
      <c r="BN26" s="8"/>
      <c r="BO26" s="8"/>
      <c r="BQ26" s="16"/>
      <c r="BR26" s="16"/>
      <c r="BS26" s="19">
        <f>BS24</f>
        <v>3.8328570000000002</v>
      </c>
      <c r="BT26" s="1">
        <v>0</v>
      </c>
      <c r="BU26" s="20"/>
      <c r="BV26" s="19"/>
      <c r="BW26" s="16"/>
      <c r="BX26" s="17" t="s">
        <v>82</v>
      </c>
    </row>
    <row r="27" spans="1:77" s="9" customFormat="1" ht="25.5" customHeight="1" x14ac:dyDescent="0.8">
      <c r="A27" s="6"/>
      <c r="B27" s="6"/>
      <c r="C27" s="6"/>
      <c r="D27" s="6"/>
      <c r="E27" s="6"/>
      <c r="F27" s="6"/>
      <c r="G27" s="6"/>
      <c r="H27" s="6"/>
      <c r="I27" s="6"/>
      <c r="J27" s="6"/>
      <c r="K27" s="6"/>
      <c r="L27" s="6"/>
      <c r="M27" s="6"/>
      <c r="N27" s="6"/>
      <c r="O27" s="6"/>
      <c r="P27" s="6"/>
      <c r="Q27" s="6"/>
      <c r="R27" s="6"/>
      <c r="S27" s="6"/>
      <c r="T27" s="6"/>
      <c r="U27" s="6"/>
      <c r="V27" s="64" t="s">
        <v>48</v>
      </c>
      <c r="W27" s="64"/>
      <c r="X27" s="64"/>
      <c r="Y27" s="64"/>
      <c r="Z27" s="64"/>
      <c r="AA27" s="64"/>
      <c r="AB27" s="64"/>
      <c r="AC27" s="64"/>
      <c r="AD27" s="64"/>
      <c r="AE27" s="64"/>
      <c r="AF27" s="64"/>
      <c r="AG27" s="64"/>
      <c r="AH27" s="64"/>
      <c r="AI27" s="64"/>
      <c r="AJ27" s="64"/>
      <c r="AK27" s="64"/>
      <c r="AL27" s="64"/>
      <c r="AM27" s="64"/>
      <c r="AN27" s="64"/>
      <c r="AO27" s="64"/>
      <c r="AP27" s="64"/>
      <c r="AQ27" s="64"/>
      <c r="AR27" s="8"/>
      <c r="AS27" s="8"/>
      <c r="AT27" s="8"/>
      <c r="AU27" s="8"/>
      <c r="AV27" s="8"/>
      <c r="AW27" s="8"/>
      <c r="AX27" s="8"/>
      <c r="AY27" s="8"/>
      <c r="AZ27" s="43">
        <f>BS24</f>
        <v>3.8328570000000002</v>
      </c>
      <c r="BA27" s="43"/>
      <c r="BB27" s="8" t="s">
        <v>58</v>
      </c>
      <c r="BC27" s="8"/>
      <c r="BD27" s="8"/>
      <c r="BE27" s="8"/>
      <c r="BF27" s="8"/>
      <c r="BG27" s="8"/>
      <c r="BH27" s="8"/>
      <c r="BI27" s="8"/>
      <c r="BJ27" s="8"/>
      <c r="BK27" s="8"/>
      <c r="BL27" s="8"/>
      <c r="BM27" s="8"/>
      <c r="BN27" s="8"/>
      <c r="BO27" s="8"/>
      <c r="BQ27" s="13" t="s">
        <v>43</v>
      </c>
      <c r="BR27" s="16"/>
      <c r="BS27" s="16"/>
      <c r="BT27" s="20"/>
      <c r="BU27" s="20"/>
      <c r="BV27" s="16"/>
      <c r="BW27" s="16"/>
    </row>
    <row r="28" spans="1:77" s="9" customFormat="1" ht="25.5" customHeight="1" x14ac:dyDescent="0.8">
      <c r="A28" s="6"/>
      <c r="B28" s="6"/>
      <c r="C28" s="6"/>
      <c r="D28" s="6"/>
      <c r="E28" s="6"/>
      <c r="F28" s="6"/>
      <c r="G28" s="6"/>
      <c r="H28" s="6"/>
      <c r="I28" s="6"/>
      <c r="J28" s="6"/>
      <c r="K28" s="6"/>
      <c r="L28" s="6"/>
      <c r="M28" s="6"/>
      <c r="N28" s="6"/>
      <c r="O28" s="6"/>
      <c r="P28" s="6"/>
      <c r="Q28" s="6"/>
      <c r="R28" s="6"/>
      <c r="S28" s="6"/>
      <c r="T28" s="6"/>
      <c r="U28" s="6"/>
      <c r="V28" s="64" t="s">
        <v>47</v>
      </c>
      <c r="W28" s="64"/>
      <c r="X28" s="64"/>
      <c r="Y28" s="64"/>
      <c r="Z28" s="64"/>
      <c r="AA28" s="64"/>
      <c r="AB28" s="64"/>
      <c r="AC28" s="64"/>
      <c r="AD28" s="64"/>
      <c r="AE28" s="64"/>
      <c r="AF28" s="64"/>
      <c r="AG28" s="64"/>
      <c r="AH28" s="64"/>
      <c r="AI28" s="64"/>
      <c r="AJ28" s="64"/>
      <c r="AK28" s="64"/>
      <c r="AL28" s="64"/>
      <c r="AM28" s="64"/>
      <c r="AN28" s="64"/>
      <c r="AO28" s="64"/>
      <c r="AP28" s="64"/>
      <c r="AQ28" s="64"/>
      <c r="AR28" s="8"/>
      <c r="AS28" s="8"/>
      <c r="AT28" s="8"/>
      <c r="AU28" s="8"/>
      <c r="AV28" s="8"/>
      <c r="AW28" s="8"/>
      <c r="AX28" s="8"/>
      <c r="AY28" s="8"/>
      <c r="AZ28" s="44">
        <f>BT24</f>
        <v>208</v>
      </c>
      <c r="BA28" s="44"/>
      <c r="BB28" s="8" t="s">
        <v>2</v>
      </c>
      <c r="BC28" s="8"/>
      <c r="BD28" s="8"/>
      <c r="BE28" s="8"/>
      <c r="BF28" s="8"/>
      <c r="BG28" s="8"/>
      <c r="BH28" s="8"/>
      <c r="BI28" s="8"/>
      <c r="BJ28" s="8"/>
      <c r="BK28" s="8"/>
      <c r="BL28" s="8"/>
      <c r="BM28" s="8"/>
      <c r="BN28" s="8"/>
      <c r="BO28" s="8"/>
      <c r="BQ28" s="16"/>
      <c r="BR28" s="16" t="s">
        <v>49</v>
      </c>
      <c r="BS28" s="5">
        <v>0</v>
      </c>
      <c r="BT28" s="20">
        <f>IF(BT19*(100-BT20-BT22)/100 &lt;BT24,BT24-(BT19*(100-BT20-BT22)/100)/(100+0)*100,0)+BT21</f>
        <v>98.120478034782607</v>
      </c>
      <c r="BU28" s="20">
        <f>IF(BU19&gt;BU24,0,BU24-BU19)</f>
        <v>0</v>
      </c>
      <c r="BV28" s="16"/>
      <c r="BW28" s="16"/>
    </row>
    <row r="29" spans="1:77" s="9" customFormat="1" ht="25.5" customHeight="1" x14ac:dyDescent="0.8">
      <c r="A29" s="6"/>
      <c r="B29" s="6"/>
      <c r="C29" s="6"/>
      <c r="D29" s="6"/>
      <c r="E29" s="6"/>
      <c r="F29" s="6"/>
      <c r="G29" s="6"/>
      <c r="H29" s="6"/>
      <c r="I29" s="6"/>
      <c r="J29" s="6"/>
      <c r="K29" s="6"/>
      <c r="L29" s="6"/>
      <c r="M29" s="6"/>
      <c r="N29" s="6"/>
      <c r="O29" s="6"/>
      <c r="P29" s="6"/>
      <c r="Q29" s="6"/>
      <c r="R29" s="6"/>
      <c r="S29" s="6"/>
      <c r="T29" s="6"/>
      <c r="U29" s="6"/>
      <c r="V29" s="59" t="s">
        <v>72</v>
      </c>
      <c r="W29" s="59"/>
      <c r="X29" s="59"/>
      <c r="Y29" s="59"/>
      <c r="Z29" s="59"/>
      <c r="AA29" s="59"/>
      <c r="AB29" s="59"/>
      <c r="AC29" s="59"/>
      <c r="AD29" s="59"/>
      <c r="AE29" s="59"/>
      <c r="AF29" s="59"/>
      <c r="AG29" s="59"/>
      <c r="AH29" s="59"/>
      <c r="AI29" s="59"/>
      <c r="AJ29" s="59"/>
      <c r="AK29" s="59"/>
      <c r="AL29" s="59"/>
      <c r="AM29" s="59"/>
      <c r="AN29" s="59"/>
      <c r="AO29" s="59"/>
      <c r="AP29" s="59"/>
      <c r="AQ29" s="59"/>
      <c r="AR29" s="8"/>
      <c r="AS29" s="8"/>
      <c r="AT29" s="8"/>
      <c r="AU29" s="8"/>
      <c r="AV29" s="8"/>
      <c r="AW29" s="8"/>
      <c r="AX29" s="8"/>
      <c r="AY29" s="8"/>
      <c r="AZ29" s="44">
        <f>BU24</f>
        <v>19</v>
      </c>
      <c r="BA29" s="44"/>
      <c r="BB29" s="8" t="s">
        <v>3</v>
      </c>
      <c r="BC29" s="8"/>
      <c r="BD29" s="8"/>
      <c r="BE29" s="8"/>
      <c r="BF29" s="8"/>
      <c r="BG29" s="8"/>
      <c r="BH29" s="8"/>
      <c r="BI29" s="8"/>
      <c r="BJ29" s="8"/>
      <c r="BK29" s="8"/>
      <c r="BL29" s="8"/>
      <c r="BM29" s="8"/>
      <c r="BN29" s="8"/>
      <c r="BO29" s="8"/>
      <c r="BQ29" s="13" t="s">
        <v>45</v>
      </c>
      <c r="BR29" s="16"/>
      <c r="BS29" s="16"/>
      <c r="BT29" s="20"/>
      <c r="BU29" s="20"/>
      <c r="BV29" s="19"/>
      <c r="BW29" s="16"/>
    </row>
    <row r="30" spans="1:77" s="9" customFormat="1" ht="25.5" customHeight="1" x14ac:dyDescent="0.8">
      <c r="A30" s="6"/>
      <c r="B30" s="6"/>
      <c r="C30" s="6"/>
      <c r="D30" s="18" t="s">
        <v>8</v>
      </c>
      <c r="E30" s="6"/>
      <c r="F30" s="6"/>
      <c r="G30" s="6"/>
      <c r="H30" s="6"/>
      <c r="I30" s="6"/>
      <c r="J30" s="6"/>
      <c r="K30" s="6"/>
      <c r="L30" s="6"/>
      <c r="M30" s="6"/>
      <c r="N30" s="6"/>
      <c r="O30" s="6"/>
      <c r="P30" s="6"/>
      <c r="Q30" s="6"/>
      <c r="R30" s="6"/>
      <c r="S30" s="6"/>
      <c r="T30" s="6"/>
      <c r="U30" s="6"/>
      <c r="V30" s="7"/>
      <c r="W30" s="7"/>
      <c r="X30" s="7"/>
      <c r="Y30" s="7"/>
      <c r="Z30" s="7"/>
      <c r="AA30" s="7"/>
      <c r="AB30" s="7"/>
      <c r="AC30" s="7"/>
      <c r="AD30" s="7"/>
      <c r="AE30" s="7"/>
      <c r="AF30" s="7"/>
      <c r="AG30" s="7"/>
      <c r="AH30" s="7"/>
      <c r="AI30" s="7"/>
      <c r="AJ30" s="7"/>
      <c r="AK30" s="7"/>
      <c r="AL30" s="7"/>
      <c r="AM30" s="7"/>
      <c r="AN30" s="7"/>
      <c r="AO30" s="7"/>
      <c r="AP30" s="7"/>
      <c r="AQ30" s="7"/>
      <c r="AR30" s="8"/>
      <c r="AS30" s="8"/>
      <c r="AT30" s="8"/>
      <c r="AU30" s="8"/>
      <c r="AV30" s="8"/>
      <c r="AW30" s="8"/>
      <c r="AX30" s="8"/>
      <c r="AY30" s="8"/>
      <c r="AZ30" s="49">
        <f>BV24</f>
        <v>10.947368421052632</v>
      </c>
      <c r="BA30" s="49"/>
      <c r="BB30" s="8" t="s">
        <v>7</v>
      </c>
      <c r="BC30" s="8"/>
      <c r="BD30" s="8"/>
      <c r="BE30" s="8"/>
      <c r="BF30" s="8"/>
      <c r="BG30" s="15"/>
      <c r="BH30" s="8"/>
      <c r="BI30" s="8"/>
      <c r="BJ30" s="8"/>
      <c r="BK30" s="8"/>
      <c r="BL30" s="8"/>
      <c r="BM30" s="8"/>
      <c r="BN30" s="8"/>
      <c r="BO30" s="8"/>
      <c r="BQ30" s="16"/>
      <c r="BR30" s="16" t="s">
        <v>14</v>
      </c>
      <c r="BS30" s="19">
        <f>BS24</f>
        <v>3.8328570000000002</v>
      </c>
      <c r="BT30" s="20">
        <f>BT24</f>
        <v>208</v>
      </c>
      <c r="BU30" s="20">
        <f>BU24</f>
        <v>19</v>
      </c>
      <c r="BV30" s="16"/>
      <c r="BW30" s="16"/>
      <c r="BX30" s="17" t="s">
        <v>83</v>
      </c>
    </row>
    <row r="31" spans="1:77" s="9" customFormat="1" ht="25.5" customHeight="1" x14ac:dyDescent="0.8">
      <c r="A31" s="6"/>
      <c r="B31" s="6"/>
      <c r="C31" s="6"/>
      <c r="D31" s="56">
        <f>BS31</f>
        <v>3.1</v>
      </c>
      <c r="E31" s="56"/>
      <c r="F31" s="6" t="s">
        <v>58</v>
      </c>
      <c r="G31" s="6"/>
      <c r="H31" s="6"/>
      <c r="I31" s="6"/>
      <c r="J31" s="6"/>
      <c r="K31" s="6"/>
      <c r="L31" s="6"/>
      <c r="M31" s="6"/>
      <c r="N31" s="6"/>
      <c r="O31" s="6"/>
      <c r="P31" s="6"/>
      <c r="Q31" s="6"/>
      <c r="R31" s="6"/>
      <c r="S31" s="6"/>
      <c r="T31" s="6"/>
      <c r="U31" s="6"/>
      <c r="V31" s="7"/>
      <c r="W31" s="7"/>
      <c r="X31" s="7"/>
      <c r="Y31" s="7"/>
      <c r="Z31" s="7"/>
      <c r="AA31" s="12" t="s">
        <v>28</v>
      </c>
      <c r="AB31" s="7"/>
      <c r="AC31" s="7"/>
      <c r="AD31" s="7"/>
      <c r="AE31" s="7"/>
      <c r="AF31" s="7"/>
      <c r="AG31" s="7"/>
      <c r="AH31" s="7"/>
      <c r="AI31" s="7"/>
      <c r="AJ31" s="7"/>
      <c r="AK31" s="7"/>
      <c r="AL31" s="7"/>
      <c r="AM31" s="7"/>
      <c r="AN31" s="7"/>
      <c r="AO31" s="7"/>
      <c r="AP31" s="7"/>
      <c r="AQ31" s="7"/>
      <c r="AR31" s="8"/>
      <c r="AS31" s="8"/>
      <c r="AT31" s="8"/>
      <c r="AU31" s="8"/>
      <c r="AV31" s="8"/>
      <c r="AW31" s="8"/>
      <c r="AX31" s="8"/>
      <c r="AY31" s="8"/>
      <c r="AZ31" s="8"/>
      <c r="BA31" s="8"/>
      <c r="BB31" s="8"/>
      <c r="BC31" s="8"/>
      <c r="BD31" s="8"/>
      <c r="BE31" s="8"/>
      <c r="BF31" s="8"/>
      <c r="BG31" s="8"/>
      <c r="BH31" s="8"/>
      <c r="BI31" s="8"/>
      <c r="BJ31" s="8"/>
      <c r="BK31" s="8"/>
      <c r="BL31" s="8"/>
      <c r="BM31" s="8"/>
      <c r="BN31" s="8"/>
      <c r="BO31" s="8"/>
      <c r="BQ31" s="16"/>
      <c r="BR31" s="16" t="s">
        <v>15</v>
      </c>
      <c r="BS31" s="5">
        <v>3.1</v>
      </c>
      <c r="BT31" s="1">
        <v>187</v>
      </c>
      <c r="BU31" s="1">
        <v>53</v>
      </c>
      <c r="BV31" s="16"/>
      <c r="BW31" s="16"/>
      <c r="BY31" s="22"/>
    </row>
    <row r="32" spans="1:77" s="9" customFormat="1" ht="25.5" customHeight="1" x14ac:dyDescent="0.8">
      <c r="A32" s="6"/>
      <c r="B32" s="6"/>
      <c r="C32" s="6"/>
      <c r="D32" s="61">
        <f>BT31</f>
        <v>187</v>
      </c>
      <c r="E32" s="60"/>
      <c r="F32" s="6" t="s">
        <v>2</v>
      </c>
      <c r="G32" s="6"/>
      <c r="H32" s="6"/>
      <c r="I32" s="6"/>
      <c r="J32" s="6"/>
      <c r="K32" s="6"/>
      <c r="L32" s="6"/>
      <c r="M32" s="6"/>
      <c r="N32" s="6"/>
      <c r="O32" s="6"/>
      <c r="P32" s="6"/>
      <c r="Q32" s="6"/>
      <c r="R32" s="6"/>
      <c r="S32" s="6"/>
      <c r="T32" s="6"/>
      <c r="U32" s="6"/>
      <c r="V32" s="7"/>
      <c r="W32" s="7"/>
      <c r="X32" s="7"/>
      <c r="Y32" s="7"/>
      <c r="Z32" s="7"/>
      <c r="AA32" s="46">
        <f>BS24</f>
        <v>3.8328570000000002</v>
      </c>
      <c r="AB32" s="46"/>
      <c r="AC32" s="7" t="s">
        <v>58</v>
      </c>
      <c r="AD32" s="7"/>
      <c r="AE32" s="7"/>
      <c r="AF32" s="7"/>
      <c r="AG32" s="7"/>
      <c r="AH32" s="7"/>
      <c r="AI32" s="7"/>
      <c r="AJ32" s="7"/>
      <c r="AK32" s="7"/>
      <c r="AL32" s="7"/>
      <c r="AM32" s="7"/>
      <c r="AN32" s="7"/>
      <c r="AO32" s="7"/>
      <c r="AP32" s="7"/>
      <c r="AQ32" s="7"/>
      <c r="AR32" s="8"/>
      <c r="AS32" s="8"/>
      <c r="AT32" s="8"/>
      <c r="AU32" s="8"/>
      <c r="AV32" s="8"/>
      <c r="AW32" s="8"/>
      <c r="AX32" s="8"/>
      <c r="AY32" s="8"/>
      <c r="AZ32" s="8"/>
      <c r="BA32" s="8"/>
      <c r="BB32" s="8"/>
      <c r="BC32" s="8"/>
      <c r="BD32" s="15" t="s">
        <v>85</v>
      </c>
      <c r="BE32" s="8"/>
      <c r="BF32" s="8"/>
      <c r="BG32" s="8"/>
      <c r="BH32" s="8"/>
      <c r="BI32" s="8"/>
      <c r="BJ32" s="8"/>
      <c r="BK32" s="8"/>
      <c r="BL32" s="8"/>
      <c r="BM32" s="8"/>
      <c r="BN32" s="8"/>
      <c r="BO32" s="8"/>
      <c r="BQ32" s="16"/>
      <c r="BR32" s="16" t="s">
        <v>53</v>
      </c>
      <c r="BS32" s="1">
        <v>29</v>
      </c>
      <c r="BT32" s="1">
        <v>45</v>
      </c>
      <c r="BU32" s="1">
        <v>43</v>
      </c>
      <c r="BV32" s="16"/>
      <c r="BW32" s="16"/>
      <c r="BX32" s="17" t="s">
        <v>84</v>
      </c>
    </row>
    <row r="33" spans="1:81" s="9" customFormat="1" ht="25" customHeight="1" x14ac:dyDescent="0.8">
      <c r="A33" s="6"/>
      <c r="B33" s="6"/>
      <c r="C33" s="6"/>
      <c r="D33" s="61">
        <f>BU31</f>
        <v>53</v>
      </c>
      <c r="E33" s="60"/>
      <c r="F33" s="6" t="s">
        <v>3</v>
      </c>
      <c r="G33" s="6"/>
      <c r="H33" s="6"/>
      <c r="I33" s="6"/>
      <c r="J33" s="6"/>
      <c r="K33" s="6"/>
      <c r="L33" s="6"/>
      <c r="M33" s="6"/>
      <c r="N33" s="6"/>
      <c r="O33" s="6"/>
      <c r="P33" s="6"/>
      <c r="Q33" s="6"/>
      <c r="R33" s="6"/>
      <c r="S33" s="6"/>
      <c r="T33" s="6"/>
      <c r="U33" s="6"/>
      <c r="V33" s="7"/>
      <c r="W33" s="7"/>
      <c r="X33" s="7"/>
      <c r="Y33" s="7"/>
      <c r="Z33" s="7"/>
      <c r="AA33" s="48">
        <f>BT30</f>
        <v>208</v>
      </c>
      <c r="AB33" s="51"/>
      <c r="AC33" s="7" t="s">
        <v>2</v>
      </c>
      <c r="AD33" s="7"/>
      <c r="AE33" s="7"/>
      <c r="AF33" s="7"/>
      <c r="AG33" s="7"/>
      <c r="AH33" s="7"/>
      <c r="AI33" s="7"/>
      <c r="AJ33" s="7"/>
      <c r="AK33" s="7"/>
      <c r="AL33" s="7"/>
      <c r="AM33" s="7"/>
      <c r="AN33" s="7"/>
      <c r="AO33" s="7"/>
      <c r="AP33" s="7"/>
      <c r="AQ33" s="7"/>
      <c r="AR33" s="8"/>
      <c r="AS33" s="8"/>
      <c r="AT33" s="8"/>
      <c r="AU33" s="8"/>
      <c r="AV33" s="8"/>
      <c r="AW33" s="8"/>
      <c r="AX33" s="8"/>
      <c r="AY33" s="8"/>
      <c r="AZ33" s="8"/>
      <c r="BA33" s="8"/>
      <c r="BB33" s="8"/>
      <c r="BC33" s="8"/>
      <c r="BD33" s="43">
        <f>BS19*BS22/100</f>
        <v>3.4522768895999998</v>
      </c>
      <c r="BE33" s="43"/>
      <c r="BF33" s="23" t="s">
        <v>70</v>
      </c>
      <c r="BG33" s="8"/>
      <c r="BH33" s="8"/>
      <c r="BI33" s="8"/>
      <c r="BJ33" s="8"/>
      <c r="BK33" s="8"/>
      <c r="BL33" s="8"/>
      <c r="BM33" s="8"/>
      <c r="BN33" s="8"/>
      <c r="BO33" s="8"/>
      <c r="BQ33" s="16"/>
      <c r="BR33" s="16" t="s">
        <v>6</v>
      </c>
      <c r="BS33" s="19">
        <f>(BS31+BS30)*BS32/100</f>
        <v>2.0105285300000002</v>
      </c>
      <c r="BT33" s="20">
        <f>(BT31+BT30)*BT32/100</f>
        <v>177.75</v>
      </c>
      <c r="BU33" s="20">
        <f>(BU31+BU30)*BU32/100</f>
        <v>30.96</v>
      </c>
      <c r="BV33" s="16"/>
      <c r="BW33" s="16"/>
      <c r="BY33" s="22"/>
      <c r="CC33" s="24"/>
    </row>
    <row r="34" spans="1:81" ht="25" customHeight="1" x14ac:dyDescent="1.25">
      <c r="A34" s="25"/>
      <c r="B34" s="25"/>
      <c r="C34" s="25"/>
      <c r="D34" s="25"/>
      <c r="E34" s="25"/>
      <c r="F34" s="25"/>
      <c r="G34" s="25"/>
      <c r="H34" s="25"/>
      <c r="I34" s="25"/>
      <c r="J34" s="25"/>
      <c r="K34" s="25"/>
      <c r="L34" s="25"/>
      <c r="M34" s="25"/>
      <c r="N34" s="25"/>
      <c r="O34" s="25"/>
      <c r="P34" s="25"/>
      <c r="Q34" s="25"/>
      <c r="R34" s="25"/>
      <c r="S34" s="25"/>
      <c r="T34" s="25"/>
      <c r="U34" s="25"/>
      <c r="V34" s="26"/>
      <c r="W34" s="26"/>
      <c r="X34" s="26"/>
      <c r="Y34" s="26"/>
      <c r="Z34" s="26"/>
      <c r="AA34" s="48">
        <f>BU30</f>
        <v>19</v>
      </c>
      <c r="AB34" s="48"/>
      <c r="AC34" s="27" t="s">
        <v>3</v>
      </c>
      <c r="AD34" s="7"/>
      <c r="AE34" s="7"/>
      <c r="AF34" s="7"/>
      <c r="AG34" s="26"/>
      <c r="AH34" s="26"/>
      <c r="AI34" s="26"/>
      <c r="AJ34" s="26"/>
      <c r="AK34" s="26"/>
      <c r="AL34" s="26"/>
      <c r="AM34" s="26"/>
      <c r="AN34" s="26"/>
      <c r="AO34" s="26"/>
      <c r="AP34" s="26"/>
      <c r="AQ34" s="26"/>
      <c r="AR34" s="28"/>
      <c r="AS34" s="28"/>
      <c r="AT34" s="28"/>
      <c r="AU34" s="28"/>
      <c r="AV34" s="28"/>
      <c r="AW34" s="28"/>
      <c r="AX34" s="28"/>
      <c r="AY34" s="28"/>
      <c r="AZ34" s="28"/>
      <c r="BA34" s="28"/>
      <c r="BB34" s="28"/>
      <c r="BC34" s="28"/>
      <c r="BD34" s="29" t="s">
        <v>38</v>
      </c>
      <c r="BE34" s="30"/>
      <c r="BF34" s="30"/>
      <c r="BG34" s="8"/>
      <c r="BH34" s="8"/>
      <c r="BI34" s="28"/>
      <c r="BJ34" s="28"/>
      <c r="BK34" s="28"/>
      <c r="BL34" s="28"/>
      <c r="BM34" s="28"/>
      <c r="BN34" s="28"/>
      <c r="BO34" s="28"/>
      <c r="BQ34" s="16"/>
      <c r="BR34" s="16" t="s">
        <v>55</v>
      </c>
      <c r="BS34" s="5">
        <f>117800/20*365/1000*1.98*6/22/1000</f>
        <v>1.1609189999999998</v>
      </c>
      <c r="BT34" s="20"/>
      <c r="BU34" s="20"/>
      <c r="BV34" s="16"/>
      <c r="BW34" s="16"/>
      <c r="BX34" s="17"/>
    </row>
    <row r="35" spans="1:81" ht="25" customHeight="1" x14ac:dyDescent="0.8">
      <c r="A35" s="31"/>
      <c r="B35" s="31"/>
      <c r="C35" s="31"/>
      <c r="D35" s="31"/>
      <c r="E35" s="31"/>
      <c r="F35" s="31"/>
      <c r="G35" s="31"/>
      <c r="H35" s="31"/>
      <c r="I35" s="31"/>
      <c r="J35" s="31"/>
      <c r="K35" s="31"/>
      <c r="L35" s="31"/>
      <c r="M35" s="31"/>
      <c r="N35" s="31"/>
      <c r="O35" s="31"/>
      <c r="P35" s="31"/>
      <c r="Q35" s="31"/>
      <c r="R35" s="31"/>
      <c r="S35" s="31"/>
      <c r="T35" s="31"/>
      <c r="U35" s="31"/>
      <c r="V35" s="32"/>
      <c r="W35" s="32"/>
      <c r="X35" s="32"/>
      <c r="Y35" s="32"/>
      <c r="Z35" s="32"/>
      <c r="AA35" s="32"/>
      <c r="AB35" s="32"/>
      <c r="AC35" s="32"/>
      <c r="AD35" s="32"/>
      <c r="AE35" s="32"/>
      <c r="AF35" s="32"/>
      <c r="AG35" s="32"/>
      <c r="AH35" s="32"/>
      <c r="AI35" s="32"/>
      <c r="AJ35" s="32"/>
      <c r="AK35" s="32"/>
      <c r="AL35" s="32"/>
      <c r="AM35" s="32"/>
      <c r="AN35" s="32"/>
      <c r="AO35" s="32"/>
      <c r="AP35" s="32"/>
      <c r="AQ35" s="32"/>
      <c r="AR35" s="33" t="s">
        <v>1</v>
      </c>
      <c r="AS35" s="34"/>
      <c r="AT35" s="34"/>
      <c r="AU35" s="34"/>
      <c r="AV35" s="34"/>
      <c r="AW35" s="34"/>
      <c r="AX35" s="34"/>
      <c r="AY35" s="34"/>
      <c r="AZ35" s="34"/>
      <c r="BA35" s="34"/>
      <c r="BB35" s="34"/>
      <c r="BC35" s="34"/>
      <c r="BD35" s="44">
        <f>BT19*BT22/100+BT28*1/100</f>
        <v>17.984074380347831</v>
      </c>
      <c r="BE35" s="44"/>
      <c r="BF35" s="8" t="s">
        <v>2</v>
      </c>
      <c r="BG35" s="8"/>
      <c r="BH35" s="8"/>
      <c r="BI35" s="34"/>
      <c r="BJ35" s="34"/>
      <c r="BK35" s="34"/>
      <c r="BL35" s="34"/>
      <c r="BM35" s="34"/>
      <c r="BN35" s="34"/>
      <c r="BO35" s="34"/>
      <c r="BQ35" s="31"/>
      <c r="BR35" s="16" t="s">
        <v>63</v>
      </c>
      <c r="BS35" s="2">
        <f>500*365*0.657/1000/1000*6/10*BQ7</f>
        <v>2.8776600000000003E-2</v>
      </c>
      <c r="BT35" s="31"/>
      <c r="BU35" s="31"/>
      <c r="BV35" s="31"/>
      <c r="BW35" s="31"/>
      <c r="BX35" s="9"/>
    </row>
    <row r="36" spans="1:81" ht="25" customHeight="1" x14ac:dyDescent="0.8">
      <c r="A36" s="31"/>
      <c r="B36" s="31"/>
      <c r="C36" s="31"/>
      <c r="D36" s="31"/>
      <c r="E36" s="31"/>
      <c r="F36" s="31"/>
      <c r="G36" s="31"/>
      <c r="H36" s="31"/>
      <c r="I36" s="31"/>
      <c r="J36" s="31"/>
      <c r="K36" s="31"/>
      <c r="L36" s="31"/>
      <c r="M36" s="31"/>
      <c r="N36" s="31"/>
      <c r="O36" s="31"/>
      <c r="P36" s="31"/>
      <c r="Q36" s="31"/>
      <c r="R36" s="31"/>
      <c r="S36" s="31"/>
      <c r="T36" s="31"/>
      <c r="U36" s="31"/>
      <c r="V36" s="32"/>
      <c r="W36" s="32"/>
      <c r="X36" s="32"/>
      <c r="Y36" s="32"/>
      <c r="Z36" s="32"/>
      <c r="AA36" s="32"/>
      <c r="AB36" s="32"/>
      <c r="AC36" s="32"/>
      <c r="AD36" s="32"/>
      <c r="AE36" s="32"/>
      <c r="AF36" s="32"/>
      <c r="AG36" s="32"/>
      <c r="AH36" s="32"/>
      <c r="AI36" s="32"/>
      <c r="AJ36" s="32"/>
      <c r="AK36" s="32"/>
      <c r="AL36" s="32"/>
      <c r="AM36" s="32"/>
      <c r="AN36" s="32"/>
      <c r="AO36" s="32"/>
      <c r="AP36" s="32"/>
      <c r="AQ36" s="32"/>
      <c r="AR36" s="34"/>
      <c r="AS36" s="34"/>
      <c r="AT36" s="34"/>
      <c r="AU36" s="34"/>
      <c r="AV36" s="34"/>
      <c r="AW36" s="34"/>
      <c r="AX36" s="34"/>
      <c r="AY36" s="34"/>
      <c r="AZ36" s="34"/>
      <c r="BA36" s="34"/>
      <c r="BB36" s="34"/>
      <c r="BC36" s="34"/>
      <c r="BD36" s="44">
        <f>BU22/100*BU19</f>
        <v>22.352</v>
      </c>
      <c r="BE36" s="44"/>
      <c r="BF36" s="8" t="s">
        <v>3</v>
      </c>
      <c r="BG36" s="8"/>
      <c r="BH36" s="8"/>
      <c r="BI36" s="34"/>
      <c r="BJ36" s="34"/>
      <c r="BK36" s="34"/>
      <c r="BL36" s="34"/>
      <c r="BM36" s="34"/>
      <c r="BN36" s="34"/>
      <c r="BO36" s="34"/>
      <c r="BQ36" s="16"/>
      <c r="BR36" s="16" t="s">
        <v>4</v>
      </c>
      <c r="BS36" s="19">
        <f>BS30+BS31-BS33-BS34-BS35</f>
        <v>3.7326328700000002</v>
      </c>
      <c r="BT36" s="20">
        <f>BT30+BT31-BT33</f>
        <v>217.25</v>
      </c>
      <c r="BU36" s="20">
        <f>BU30+BU31-BU33</f>
        <v>41.04</v>
      </c>
      <c r="BV36" s="42" t="str">
        <f>IF(OR(ABS(BS9-BS36)&gt;0.1, ABS(BT9-BT36)&gt;1,ABS(BU36-BU9)&gt;1),"Ex animal figures do not match","")</f>
        <v/>
      </c>
      <c r="BW36" s="16"/>
      <c r="BX36" s="9"/>
    </row>
    <row r="37" spans="1:81" ht="25" customHeight="1" x14ac:dyDescent="0.8">
      <c r="A37" s="31"/>
      <c r="B37" s="31"/>
      <c r="C37" s="31"/>
      <c r="D37" s="31"/>
      <c r="E37" s="31"/>
      <c r="F37" s="31"/>
      <c r="G37" s="31"/>
      <c r="H37" s="31"/>
      <c r="I37" s="31"/>
      <c r="J37" s="31"/>
      <c r="K37" s="31"/>
      <c r="L37" s="31"/>
      <c r="M37" s="31"/>
      <c r="N37" s="31"/>
      <c r="O37" s="31"/>
      <c r="P37" s="31"/>
      <c r="Q37" s="31"/>
      <c r="R37" s="31"/>
      <c r="S37" s="31"/>
      <c r="T37" s="31"/>
      <c r="U37" s="31"/>
      <c r="V37" s="32"/>
      <c r="W37" s="32"/>
      <c r="X37" s="32"/>
      <c r="Y37" s="32"/>
      <c r="Z37" s="32"/>
      <c r="AA37" s="32"/>
      <c r="AB37" s="32"/>
      <c r="AC37" s="32"/>
      <c r="AD37" s="32"/>
      <c r="AE37" s="32"/>
      <c r="AF37" s="32"/>
      <c r="AG37" s="32"/>
      <c r="AH37" s="32"/>
      <c r="AI37" s="32"/>
      <c r="AJ37" s="32"/>
      <c r="AK37" s="32"/>
      <c r="AL37" s="32"/>
      <c r="AM37" s="32"/>
      <c r="AN37" s="32"/>
      <c r="AO37" s="32"/>
      <c r="AP37" s="32"/>
      <c r="AQ37" s="32"/>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Q37" s="13" t="s">
        <v>22</v>
      </c>
      <c r="BR37" s="16"/>
      <c r="BS37" s="16"/>
      <c r="BT37" s="20"/>
      <c r="BU37" s="20"/>
      <c r="BV37" s="16"/>
      <c r="BW37" s="16"/>
      <c r="BX37" s="9"/>
    </row>
    <row r="38" spans="1:81" ht="25" customHeight="1" x14ac:dyDescent="0.8">
      <c r="A38" s="31"/>
      <c r="B38" s="31"/>
      <c r="C38" s="31"/>
      <c r="D38" s="31"/>
      <c r="E38" s="31"/>
      <c r="F38" s="31"/>
      <c r="G38" s="31"/>
      <c r="H38" s="31"/>
      <c r="I38" s="31"/>
      <c r="J38" s="31"/>
      <c r="K38" s="31"/>
      <c r="L38" s="31"/>
      <c r="M38" s="31"/>
      <c r="N38" s="31"/>
      <c r="O38" s="31"/>
      <c r="P38" s="31"/>
      <c r="Q38" s="31"/>
      <c r="R38" s="31"/>
      <c r="S38" s="31"/>
      <c r="T38" s="31"/>
      <c r="U38" s="31"/>
      <c r="V38" s="32"/>
      <c r="W38" s="32"/>
      <c r="X38" s="32"/>
      <c r="Y38" s="32"/>
      <c r="Z38" s="32"/>
      <c r="AA38" s="32"/>
      <c r="AB38" s="32"/>
      <c r="AC38" s="32"/>
      <c r="AD38" s="32"/>
      <c r="AE38" s="32"/>
      <c r="AF38" s="32"/>
      <c r="AG38" s="32"/>
      <c r="AH38" s="32"/>
      <c r="AI38" s="32"/>
      <c r="AJ38" s="32"/>
      <c r="AK38" s="32"/>
      <c r="AL38" s="32"/>
      <c r="AM38" s="32"/>
      <c r="AN38" s="32"/>
      <c r="AO38" s="32"/>
      <c r="AP38" s="32"/>
      <c r="AQ38" s="32"/>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Q38" s="16"/>
      <c r="BR38" s="16" t="s">
        <v>61</v>
      </c>
      <c r="BS38" s="35">
        <f>D31-V3+BH19-BD33+BD12-C12</f>
        <v>1.4700515804000003</v>
      </c>
      <c r="BT38" s="20">
        <f>D32-C13-V4+BH20</f>
        <v>107.37047803478261</v>
      </c>
      <c r="BU38" s="20">
        <f>D33+BH21-V5-C14</f>
        <v>22.04</v>
      </c>
      <c r="BV38" s="16"/>
      <c r="BW38" s="16"/>
      <c r="BX38" s="9"/>
    </row>
    <row r="39" spans="1:81" ht="25" customHeight="1" x14ac:dyDescent="0.45">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Q39" s="16"/>
      <c r="BR39" s="16" t="s">
        <v>62</v>
      </c>
      <c r="BS39" s="36" t="s">
        <v>71</v>
      </c>
      <c r="BT39" s="20">
        <f>BT19*(100-BT20-BT22)/100/(BT9-BT13)*100</f>
        <v>50.830000000000005</v>
      </c>
      <c r="BU39" s="20">
        <f>BU19*(100-BU20-BU22)/100/(BU9-BU13)*100</f>
        <v>45.946991681176236</v>
      </c>
      <c r="BV39" s="16"/>
      <c r="BW39" s="16"/>
    </row>
    <row r="40" spans="1:81" ht="25" customHeight="1" x14ac:dyDescent="0.75">
      <c r="A40" s="53" t="s">
        <v>17</v>
      </c>
      <c r="B40" s="53"/>
      <c r="C40" s="53"/>
      <c r="D40" s="53"/>
      <c r="E40" s="53"/>
      <c r="F40" s="53"/>
      <c r="G40" s="53"/>
      <c r="H40" s="53"/>
      <c r="I40" s="53"/>
      <c r="J40" s="53"/>
      <c r="K40" s="53"/>
      <c r="L40" s="53"/>
      <c r="M40" s="53"/>
      <c r="N40" s="53"/>
      <c r="O40" s="53"/>
      <c r="P40" s="53"/>
      <c r="Q40" s="53"/>
      <c r="R40" s="53"/>
      <c r="S40" s="53"/>
      <c r="T40" s="53"/>
      <c r="U40" s="53"/>
      <c r="V40" s="54" t="s">
        <v>0</v>
      </c>
      <c r="W40" s="54"/>
      <c r="X40" s="54"/>
      <c r="Y40" s="54"/>
      <c r="Z40" s="54"/>
      <c r="AA40" s="54"/>
      <c r="AB40" s="54"/>
      <c r="AC40" s="54"/>
      <c r="AD40" s="54"/>
      <c r="AE40" s="54"/>
      <c r="AF40" s="54"/>
      <c r="AG40" s="54"/>
      <c r="AH40" s="54"/>
      <c r="AI40" s="54"/>
      <c r="AJ40" s="54"/>
      <c r="AK40" s="54"/>
      <c r="AL40" s="54"/>
      <c r="AM40" s="54"/>
      <c r="AN40" s="54"/>
      <c r="AO40" s="54"/>
      <c r="AP40" s="54"/>
      <c r="AQ40" s="54"/>
      <c r="AR40" s="55" t="s">
        <v>23</v>
      </c>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Q40" s="16"/>
      <c r="BR40" s="37" t="s">
        <v>74</v>
      </c>
      <c r="BS40" s="38">
        <f>(C23*22/6*1.98)+(C24*10/6*0.657)+(I7*10/6*0.657)+(AB5*10/6*0.657)+(AB7*22/14*1.22)+(AL5*10/6*0.657)</f>
        <v>8.7025093025999993</v>
      </c>
      <c r="BT40" s="37"/>
      <c r="BU40" s="20"/>
      <c r="BV40" s="16"/>
      <c r="BW40" s="16"/>
    </row>
    <row r="41" spans="1:81" ht="25" customHeight="1" x14ac:dyDescent="0.7">
      <c r="A41" s="53"/>
      <c r="B41" s="53"/>
      <c r="C41" s="53"/>
      <c r="D41" s="53"/>
      <c r="E41" s="53"/>
      <c r="F41" s="53"/>
      <c r="G41" s="53"/>
      <c r="H41" s="53"/>
      <c r="I41" s="53"/>
      <c r="J41" s="53"/>
      <c r="K41" s="53"/>
      <c r="L41" s="53"/>
      <c r="M41" s="53"/>
      <c r="N41" s="53"/>
      <c r="O41" s="53"/>
      <c r="P41" s="53"/>
      <c r="Q41" s="53"/>
      <c r="R41" s="53"/>
      <c r="S41" s="53"/>
      <c r="T41" s="53"/>
      <c r="U41" s="53"/>
      <c r="V41" s="54"/>
      <c r="W41" s="54"/>
      <c r="X41" s="54"/>
      <c r="Y41" s="54"/>
      <c r="Z41" s="54"/>
      <c r="AA41" s="54"/>
      <c r="AB41" s="54"/>
      <c r="AC41" s="54"/>
      <c r="AD41" s="54"/>
      <c r="AE41" s="54"/>
      <c r="AF41" s="54"/>
      <c r="AG41" s="54"/>
      <c r="AH41" s="54"/>
      <c r="AI41" s="54"/>
      <c r="AJ41" s="54"/>
      <c r="AK41" s="54"/>
      <c r="AL41" s="54"/>
      <c r="AM41" s="54"/>
      <c r="AN41" s="54"/>
      <c r="AO41" s="54"/>
      <c r="AP41" s="54"/>
      <c r="AQ41" s="54"/>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Q41" s="37"/>
      <c r="BR41" s="31"/>
      <c r="BS41" s="38"/>
      <c r="BT41" s="31"/>
      <c r="BU41" s="37"/>
      <c r="BV41" s="37"/>
      <c r="BW41" s="31"/>
    </row>
    <row r="42" spans="1:81" ht="27.5" x14ac:dyDescent="0.7">
      <c r="BQ42" s="39"/>
      <c r="BR42" s="39"/>
      <c r="BS42" s="39"/>
      <c r="BT42" s="39"/>
      <c r="BU42" s="39"/>
      <c r="BV42" s="39"/>
      <c r="BW42" s="40"/>
    </row>
    <row r="43" spans="1:81" ht="27.5" x14ac:dyDescent="0.7">
      <c r="BQ43" s="39"/>
      <c r="BR43" s="39"/>
      <c r="BS43" s="39"/>
      <c r="BT43" s="39"/>
      <c r="BU43" s="39"/>
      <c r="BV43" s="39"/>
      <c r="BW43" s="40"/>
    </row>
    <row r="44" spans="1:81" ht="27.5" x14ac:dyDescent="0.7">
      <c r="BQ44" s="39"/>
      <c r="BR44" s="39"/>
      <c r="BS44" s="39"/>
      <c r="BT44" s="39"/>
      <c r="BU44" s="39"/>
      <c r="BV44" s="39"/>
      <c r="BW44" s="40"/>
    </row>
    <row r="45" spans="1:81" ht="27.5" x14ac:dyDescent="0.7">
      <c r="BQ45" s="41"/>
      <c r="BR45" s="41"/>
      <c r="BS45" s="41"/>
      <c r="BT45" s="41"/>
      <c r="BU45" s="41"/>
      <c r="BV45" s="41"/>
    </row>
    <row r="46" spans="1:81" ht="27.5" x14ac:dyDescent="0.7">
      <c r="BR46" s="41"/>
      <c r="BS46" s="41"/>
      <c r="BT46" s="41"/>
      <c r="BU46" s="41"/>
      <c r="BV46" s="41"/>
    </row>
  </sheetData>
  <sheetProtection algorithmName="SHA-512" hashValue="Dv/Qsx5X7QH2NDk2c6BSusbxAeR/KRbPWiiR2qgtwOomTDLmlbeqQEWcmlQlRzrEF5diM8GAkK7/xARIrp8FFA==" saltValue="afPQeOmDwXGRDWnOytTDZg==" spinCount="100000" sheet="1" objects="1" scenarios="1"/>
  <protectedRanges>
    <protectedRange sqref="BS10 BS18 BS20:BS22 BS24:BS26 BS13:BS15" name="Område3"/>
    <protectedRange sqref="BQ5:BU6 BT10:BU10 BT18:BU18 BT20:BT22 BS7 BT24:BU26 BT13:BU15" name="Område1"/>
    <protectedRange sqref="BW5:BW6" name="Område2"/>
    <protectedRange sqref="BQ7:BR7" name="Område1_1"/>
    <protectedRange sqref="BT7:BU7" name="Område1_2"/>
    <protectedRange sqref="BW7" name="Område2_1"/>
  </protectedRanges>
  <mergeCells count="58">
    <mergeCell ref="D31:E31"/>
    <mergeCell ref="BD35:BE35"/>
    <mergeCell ref="D32:E32"/>
    <mergeCell ref="V24:AQ25"/>
    <mergeCell ref="V26:AQ26"/>
    <mergeCell ref="V27:AQ27"/>
    <mergeCell ref="V28:AQ28"/>
    <mergeCell ref="D33:E33"/>
    <mergeCell ref="I7:J7"/>
    <mergeCell ref="C13:D13"/>
    <mergeCell ref="AC17:AD17"/>
    <mergeCell ref="BH20:BI20"/>
    <mergeCell ref="BH21:BI21"/>
    <mergeCell ref="AN19:AO19"/>
    <mergeCell ref="AN20:AO20"/>
    <mergeCell ref="S20:T20"/>
    <mergeCell ref="AN21:AO21"/>
    <mergeCell ref="AC18:AD18"/>
    <mergeCell ref="S21:T21"/>
    <mergeCell ref="C14:D14"/>
    <mergeCell ref="C12:D12"/>
    <mergeCell ref="I8:J8"/>
    <mergeCell ref="S19:T19"/>
    <mergeCell ref="A40:U41"/>
    <mergeCell ref="V40:AQ41"/>
    <mergeCell ref="AR40:BO41"/>
    <mergeCell ref="AA32:AB32"/>
    <mergeCell ref="BD33:BE33"/>
    <mergeCell ref="AA33:AB33"/>
    <mergeCell ref="BD36:BE36"/>
    <mergeCell ref="BH19:BI19"/>
    <mergeCell ref="AZ30:BA30"/>
    <mergeCell ref="AZ29:BA29"/>
    <mergeCell ref="C23:D23"/>
    <mergeCell ref="S22:T22"/>
    <mergeCell ref="V29:AQ29"/>
    <mergeCell ref="C24:D24"/>
    <mergeCell ref="AA34:AB34"/>
    <mergeCell ref="V3:W3"/>
    <mergeCell ref="AL5:AM5"/>
    <mergeCell ref="AV5:AW5"/>
    <mergeCell ref="AC19:AD19"/>
    <mergeCell ref="AC16:AD16"/>
    <mergeCell ref="AN18:AO18"/>
    <mergeCell ref="AB7:AC7"/>
    <mergeCell ref="AV7:AW7"/>
    <mergeCell ref="AB8:AC8"/>
    <mergeCell ref="V4:W4"/>
    <mergeCell ref="AV6:AW6"/>
    <mergeCell ref="AB6:AC6"/>
    <mergeCell ref="AL6:AM6"/>
    <mergeCell ref="AB5:AC5"/>
    <mergeCell ref="V5:W5"/>
    <mergeCell ref="BD12:BE12"/>
    <mergeCell ref="BD13:BE13"/>
    <mergeCell ref="BD14:BE14"/>
    <mergeCell ref="AZ27:BA27"/>
    <mergeCell ref="AZ28:BA28"/>
  </mergeCells>
  <conditionalFormatting sqref="BS36">
    <cfRule type="expression" dxfId="2" priority="3">
      <formula>ABS($BS$36-$BS$9)&gt;0.1</formula>
    </cfRule>
  </conditionalFormatting>
  <conditionalFormatting sqref="BT36">
    <cfRule type="expression" dxfId="1" priority="2">
      <formula>ABS($BT$36-$BT$9)&gt;1</formula>
    </cfRule>
  </conditionalFormatting>
  <conditionalFormatting sqref="BU36">
    <cfRule type="expression" dxfId="0" priority="1">
      <formula>ABS($BU$36-$BU$9)&gt;1</formula>
    </cfRule>
  </conditionalFormatting>
  <hyperlinks>
    <hyperlink ref="BX24" r:id="rId1" display="https://lbst.dk/fileadmin/user_upload/NaturErhverv/Filer/Landbrug/Goedningsregnskab/Vejledning_om_goedsknings-_og_harmoniregler_2020_2021.pdf" xr:uid="{83EF89AC-C05F-42E7-8837-D1AFF091E580}"/>
    <hyperlink ref="BX5" r:id="rId2" display="https://anis.au.dk/fileadmin/DJF/Anis/dokumenter_anis/Forskning/Normtal/Normtal_2020_opdateret_221220.pdf" xr:uid="{67E0D3BE-EF1D-4634-945F-B8918F0E20BC}"/>
    <hyperlink ref="BX11" r:id="rId3" location="bib0025" display="https://www.sciencedirect.com/science/article/pii/S0022030212002913#bib0025" xr:uid="{D53EA35D-F145-4750-B85E-B001306297A4}"/>
    <hyperlink ref="BX30" r:id="rId4" display="https://landresources.montana.edu/fertilizerfacts/documents/FF33StrawSWWW.pdf" xr:uid="{50DB4C95-985D-4E21-9505-DAB5F5DFE20F}"/>
    <hyperlink ref="BX32" r:id="rId5" display="https://www.researchgate.net/publication/323999543_Use_of_carbon_dioxide_as_animal_breath_volume_marker_-_Examples_for_determination_of_Methane_production_in_dairy_cows" xr:uid="{5648E685-2E9C-49DA-9179-6B9EE48F9FE2}"/>
    <hyperlink ref="BX26" r:id="rId6" display="https://www.researchgate.net/publication/261374117_Carbon_density_and_accumulation_in_agroecosystem_of_Indo-Gangetic_Plains_and_Vindhyan_highlands_India" xr:uid="{848C78CC-20AF-4559-A871-094074F83738}"/>
    <hyperlink ref="BX21" r:id="rId7" display="Lars Biernat, Friedhelm Taube, Ralf Loges, Christof Kluß and Thorsten Reinsch. 2020. Nitrous Oxide Emissions and Methane Uptake from Organic and Conventionally Managed Arable Crop Rotations on Farms in Northwest Germany. Sustainability 2020, 12(8), 3240; https://doi.org/10.3390/su12083240" xr:uid="{51FE33A3-F5AB-4369-83C1-F9935136E213}"/>
    <hyperlink ref="BX10" r:id="rId8" display="https://anis.au.dk/fileadmin/DJF/Anis/dokumenter_anis/Forskning/Normtal/Normtal_2020_opdateret_221220.pdf" xr:uid="{7A7596B6-A13C-4B03-B919-D5917F4E5814}"/>
    <hyperlink ref="BX14" r:id="rId9" xr:uid="{2287D031-4356-4BEF-AB78-9A068613E69B}"/>
    <hyperlink ref="BX18" r:id="rId10" xr:uid="{29B44524-23D0-46E4-9693-2FC5660CBF49}"/>
    <hyperlink ref="BX20" r:id="rId11" xr:uid="{46610FB9-064F-4024-BB17-019EFCFC7A99}"/>
  </hyperlinks>
  <pageMargins left="0.7" right="0.7" top="0.75" bottom="0.75" header="0.3" footer="0.3"/>
  <pageSetup paperSize="9" orientation="portrait" horizontalDpi="300" verticalDpi="300" r:id="rId12"/>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CNP flows interactive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Lyngsø Foged</dc:creator>
  <cp:lastModifiedBy>Henning Lyngsø Foged</cp:lastModifiedBy>
  <dcterms:created xsi:type="dcterms:W3CDTF">2021-04-11T07:49:27Z</dcterms:created>
  <dcterms:modified xsi:type="dcterms:W3CDTF">2021-05-09T17:28:14Z</dcterms:modified>
</cp:coreProperties>
</file>