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lf\Documents\Visual Studio 2019\websites\organe\docs\"/>
    </mc:Choice>
  </mc:AlternateContent>
  <xr:revisionPtr revIDLastSave="0" documentId="13_ncr:1_{E0333247-3E74-4F2C-8B25-994FDFEF1303}" xr6:coauthVersionLast="45" xr6:coauthVersionMax="45" xr10:uidLastSave="{00000000-0000-0000-0000-000000000000}"/>
  <bookViews>
    <workbookView xWindow="-110" yWindow="-110" windowWidth="19420" windowHeight="11020" xr2:uid="{8AEBBB60-B383-4D45-9014-BE43CACA7C7D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6" i="1" l="1"/>
  <c r="E33" i="1"/>
  <c r="E32" i="1" l="1"/>
  <c r="E31" i="1"/>
  <c r="E28" i="1" l="1"/>
  <c r="D28" i="1"/>
  <c r="E92" i="1"/>
  <c r="D92" i="1"/>
  <c r="C92" i="1"/>
  <c r="C33" i="1" l="1"/>
  <c r="C49" i="1" s="1"/>
  <c r="C36" i="1"/>
  <c r="D36" i="1"/>
  <c r="D33" i="1"/>
  <c r="C31" i="1" l="1"/>
  <c r="F85" i="1"/>
  <c r="A13" i="1" l="1"/>
  <c r="A14" i="1" s="1"/>
  <c r="A16" i="1" s="1"/>
  <c r="A17" i="1" s="1"/>
  <c r="A18" i="1" s="1"/>
  <c r="A19" i="1" s="1"/>
  <c r="A20" i="1" s="1"/>
  <c r="A21" i="1" s="1"/>
  <c r="A22" i="1" s="1"/>
  <c r="A23" i="1" s="1"/>
  <c r="A24" i="1" s="1"/>
  <c r="D48" i="1"/>
  <c r="E48" i="1"/>
  <c r="C48" i="1"/>
  <c r="E49" i="1"/>
  <c r="D18" i="1"/>
  <c r="C18" i="1"/>
  <c r="C50" i="1" l="1"/>
  <c r="C52" i="1" s="1"/>
  <c r="E50" i="1"/>
  <c r="E52" i="1" s="1"/>
  <c r="A26" i="1" l="1"/>
  <c r="A27" i="1" s="1"/>
  <c r="A28" i="1" s="1"/>
  <c r="A29" i="1" s="1"/>
  <c r="A31" i="1" s="1"/>
  <c r="A32" i="1" s="1"/>
  <c r="A33" i="1" s="1"/>
  <c r="A34" i="1" s="1"/>
  <c r="A35" i="1" s="1"/>
  <c r="A36" i="1" s="1"/>
  <c r="A37" i="1" s="1"/>
  <c r="A39" i="1" s="1"/>
  <c r="A40" i="1" s="1"/>
  <c r="A42" i="1" s="1"/>
  <c r="A43" i="1" s="1"/>
  <c r="A44" i="1" s="1"/>
  <c r="A46" i="1" s="1"/>
  <c r="A47" i="1" s="1"/>
  <c r="A48" i="1" s="1"/>
  <c r="A49" i="1" s="1"/>
  <c r="A50" i="1" s="1"/>
  <c r="A51" i="1" l="1"/>
  <c r="A52" i="1" s="1"/>
  <c r="A53" i="1" s="1"/>
  <c r="A54" i="1" s="1"/>
  <c r="A55" i="1" s="1"/>
  <c r="A56" i="1" s="1"/>
  <c r="A58" i="1" l="1"/>
  <c r="A59" i="1" s="1"/>
  <c r="A60" i="1" s="1"/>
  <c r="A62" i="1" s="1"/>
  <c r="A63" i="1" s="1"/>
  <c r="A64" i="1" s="1"/>
  <c r="A65" i="1" s="1"/>
  <c r="F11" i="1"/>
  <c r="A67" i="1" l="1"/>
  <c r="A68" i="1" s="1"/>
  <c r="A69" i="1" s="1"/>
  <c r="A70" i="1" s="1"/>
  <c r="D32" i="1"/>
  <c r="C32" i="1"/>
  <c r="D31" i="1"/>
  <c r="A72" i="1" l="1"/>
  <c r="A73" i="1" s="1"/>
  <c r="A74" i="1" s="1"/>
  <c r="A75" i="1" s="1"/>
  <c r="A76" i="1" s="1"/>
  <c r="A78" i="1" s="1"/>
  <c r="A79" i="1" s="1"/>
  <c r="A81" i="1" s="1"/>
  <c r="A82" i="1" s="1"/>
  <c r="A83" i="1" s="1"/>
  <c r="A85" i="1" s="1"/>
  <c r="A86" i="1" s="1"/>
  <c r="A88" i="1" s="1"/>
  <c r="A89" i="1" s="1"/>
  <c r="A90" i="1" s="1"/>
  <c r="A91" i="1" s="1"/>
  <c r="A92" i="1" s="1"/>
  <c r="A93" i="1" s="1"/>
  <c r="A94" i="1" s="1"/>
  <c r="D49" i="1"/>
  <c r="D12" i="1"/>
  <c r="E12" i="1"/>
  <c r="C12" i="1"/>
  <c r="C37" i="1" l="1"/>
  <c r="D37" i="1"/>
  <c r="D40" i="1" s="1"/>
  <c r="E14" i="1"/>
  <c r="E37" i="1"/>
  <c r="E40" i="1" s="1"/>
  <c r="C14" i="1"/>
  <c r="C40" i="1"/>
  <c r="D81" i="1"/>
  <c r="D83" i="1" s="1"/>
  <c r="D14" i="1"/>
  <c r="D50" i="1"/>
  <c r="D52" i="1" s="1"/>
  <c r="D53" i="1" s="1"/>
  <c r="C27" i="1"/>
  <c r="C81" i="1"/>
  <c r="E81" i="1"/>
  <c r="E83" i="1" s="1"/>
  <c r="C17" i="1"/>
  <c r="C86" i="1" s="1"/>
  <c r="D63" i="1"/>
  <c r="E63" i="1"/>
  <c r="D27" i="1"/>
  <c r="D29" i="1" s="1"/>
  <c r="C63" i="1"/>
  <c r="F12" i="1"/>
  <c r="D17" i="1"/>
  <c r="E17" i="1"/>
  <c r="E27" i="1"/>
  <c r="C29" i="1" l="1"/>
  <c r="F27" i="1"/>
  <c r="F14" i="1"/>
  <c r="C53" i="1"/>
  <c r="C72" i="1"/>
  <c r="C68" i="1"/>
  <c r="D72" i="1"/>
  <c r="D74" i="1" s="1"/>
  <c r="D76" i="1" s="1"/>
  <c r="D68" i="1"/>
  <c r="D70" i="1" s="1"/>
  <c r="D79" i="1"/>
  <c r="D86" i="1"/>
  <c r="E79" i="1"/>
  <c r="E86" i="1"/>
  <c r="C21" i="1"/>
  <c r="E53" i="1"/>
  <c r="E68" i="1"/>
  <c r="E70" i="1" s="1"/>
  <c r="E72" i="1"/>
  <c r="E74" i="1" s="1"/>
  <c r="E76" i="1" s="1"/>
  <c r="C19" i="1"/>
  <c r="C24" i="1" s="1"/>
  <c r="C79" i="1"/>
  <c r="C83" i="1"/>
  <c r="F83" i="1" s="1"/>
  <c r="H83" i="1" s="1"/>
  <c r="F81" i="1"/>
  <c r="D42" i="1"/>
  <c r="D89" i="1" s="1"/>
  <c r="D91" i="1" s="1"/>
  <c r="D93" i="1" s="1"/>
  <c r="D94" i="1" s="1"/>
  <c r="E42" i="1"/>
  <c r="E89" i="1" s="1"/>
  <c r="E91" i="1" s="1"/>
  <c r="E93" i="1" s="1"/>
  <c r="E94" i="1" s="1"/>
  <c r="D19" i="1"/>
  <c r="D24" i="1" s="1"/>
  <c r="D21" i="1"/>
  <c r="D65" i="1"/>
  <c r="E19" i="1"/>
  <c r="E24" i="1" s="1"/>
  <c r="E21" i="1"/>
  <c r="E65" i="1"/>
  <c r="F63" i="1"/>
  <c r="C65" i="1"/>
  <c r="E29" i="1"/>
  <c r="G29" i="1" s="1"/>
  <c r="F17" i="1"/>
  <c r="C42" i="1"/>
  <c r="C89" i="1" s="1"/>
  <c r="C91" i="1" s="1"/>
  <c r="F37" i="1"/>
  <c r="F89" i="1" l="1"/>
  <c r="F86" i="1"/>
  <c r="H86" i="1" s="1"/>
  <c r="F91" i="1"/>
  <c r="C93" i="1"/>
  <c r="F79" i="1"/>
  <c r="H79" i="1" s="1"/>
  <c r="F72" i="1"/>
  <c r="C74" i="1"/>
  <c r="C76" i="1" s="1"/>
  <c r="F76" i="1"/>
  <c r="H76" i="1" s="1"/>
  <c r="D44" i="1"/>
  <c r="E44" i="1"/>
  <c r="H24" i="1"/>
  <c r="H65" i="1"/>
  <c r="H21" i="1"/>
  <c r="F19" i="1"/>
  <c r="F53" i="1"/>
  <c r="C70" i="1"/>
  <c r="H70" i="1" s="1"/>
  <c r="F68" i="1"/>
  <c r="G40" i="1"/>
  <c r="C44" i="1"/>
  <c r="C54" i="1" s="1"/>
  <c r="F42" i="1"/>
  <c r="C94" i="1" l="1"/>
  <c r="G94" i="1" s="1"/>
  <c r="F93" i="1"/>
  <c r="F74" i="1"/>
  <c r="C56" i="1"/>
  <c r="D54" i="1"/>
  <c r="E58" i="1"/>
  <c r="E60" i="1" s="1"/>
  <c r="E54" i="1"/>
  <c r="E56" i="1" s="1"/>
  <c r="C58" i="1"/>
  <c r="C60" i="1" s="1"/>
  <c r="D58" i="1"/>
  <c r="D60" i="1" s="1"/>
  <c r="F44" i="1"/>
  <c r="F54" i="1" l="1"/>
  <c r="H60" i="1"/>
  <c r="H4" i="1" s="1"/>
  <c r="D56" i="1"/>
  <c r="G56" i="1"/>
  <c r="G4" i="1" s="1"/>
  <c r="F58" i="1"/>
  <c r="H7" i="1" l="1"/>
  <c r="H6" i="1"/>
  <c r="G5" i="1"/>
  <c r="G6" i="1"/>
  <c r="G7" i="1"/>
  <c r="H5" i="1"/>
  <c r="F4" i="1"/>
  <c r="F5" i="1" l="1"/>
  <c r="F6" i="1"/>
  <c r="F7" i="1"/>
</calcChain>
</file>

<file path=xl/sharedStrings.xml><?xml version="1.0" encoding="utf-8"?>
<sst xmlns="http://schemas.openxmlformats.org/spreadsheetml/2006/main" count="174" uniqueCount="156">
  <si>
    <t>Staldforsuring som klimapolitisk virkemiddel i Danmark</t>
  </si>
  <si>
    <t>Målsætning for 2030, forsuring af gylle, %</t>
  </si>
  <si>
    <t>Kvæg</t>
  </si>
  <si>
    <t>Smågrise</t>
  </si>
  <si>
    <t>Søer</t>
  </si>
  <si>
    <t>Målsætningen svarer til en yderligere forsuring i %</t>
  </si>
  <si>
    <t>Kilde</t>
  </si>
  <si>
    <t>Olesen et al. (2018)</t>
  </si>
  <si>
    <t>Regeringens Klimapartnerskaber, Fødevare- og Landbrugssektoren (2020)</t>
  </si>
  <si>
    <t>Bemærkning</t>
  </si>
  <si>
    <t>Forudsætninger og beregninger</t>
  </si>
  <si>
    <t>Estimeret gylleproduktion i 2030, 1.000 tons per år</t>
  </si>
  <si>
    <t>Beregnet som (2)/100*(3)</t>
  </si>
  <si>
    <t>Kapacitet per staldforsuringsanlæg, 1.000 tons</t>
  </si>
  <si>
    <t>Nødvendigt antal ekstra staldforsuringsanlæg</t>
  </si>
  <si>
    <t>Typisk pris per anlæg, 1.000 kr.</t>
  </si>
  <si>
    <t>Grundlæggende forudsætninger for scenariet</t>
  </si>
  <si>
    <t>Nødvendig investering i alt, 1.000 kr.</t>
  </si>
  <si>
    <t>I alt</t>
  </si>
  <si>
    <t>Afskrivninger, % af investeringer</t>
  </si>
  <si>
    <t>Emission af klimagasser</t>
  </si>
  <si>
    <t>Netto reduktion af klimagasser, kg CO2e per ton gylle</t>
  </si>
  <si>
    <t>Målsætningen svarer til en yderligere forsuring i 1.000 tons gylle</t>
  </si>
  <si>
    <t>Emission af ammoniak</t>
  </si>
  <si>
    <t>Lund et al. (2019)</t>
  </si>
  <si>
    <t>Typisk emission af ammoniak i stald, kg per ton gylle</t>
  </si>
  <si>
    <t>Typisk emission af ammoniak fra lager, kg per ton gylle</t>
  </si>
  <si>
    <t>Typisk emission af ammoniak fra mark, kg per ton gylle</t>
  </si>
  <si>
    <t>Reduktion af ammoniakemissioner i stald, %</t>
  </si>
  <si>
    <t>Reduktion af ammoniakemissionerfra lager, %</t>
  </si>
  <si>
    <t>Miljøstyrelsens Teknologiliste</t>
  </si>
  <si>
    <t xml:space="preserve">Ved anvendelse af staldforsuring bortfalder krav om fast overdækning </t>
  </si>
  <si>
    <t>Samlet reduktion af ammoniakemissioner, Kt</t>
  </si>
  <si>
    <t>Atmosfærisk kvælstofdeponering</t>
  </si>
  <si>
    <t>Renere luft</t>
  </si>
  <si>
    <t>Reduceret tab af N med ammoniakemissioner, ton N</t>
  </si>
  <si>
    <t>Samfundsmæssig værdi af reduceret ammoniakemission, 1.000 kr. per år</t>
  </si>
  <si>
    <t>Svovlsyreforbrug, kg/ton gylle</t>
  </si>
  <si>
    <t>Dubgaard og Ståhl (2018)</t>
  </si>
  <si>
    <t>Det økologiske Råd (2001)</t>
  </si>
  <si>
    <t>Ammoniaemissioner som returnerer som atmosfærisk N deponering, %</t>
  </si>
  <si>
    <t>Reducerede atmosfæriske N deponeringer, tons N</t>
  </si>
  <si>
    <t>Renere vand</t>
  </si>
  <si>
    <t>Reduceret udvaskning af N i forsuret gylle, %</t>
  </si>
  <si>
    <t>Reduceret N udvaskning, ton per år i alt</t>
  </si>
  <si>
    <t>Anvendelse af kvælstof i kunstgødning</t>
  </si>
  <si>
    <t>Anvendelse af svovl i kunstgødning</t>
  </si>
  <si>
    <t>Typisk svovl-gødningsbehov, kg/ha</t>
  </si>
  <si>
    <t>Svovl-gødningsbehov, i alt ton per år</t>
  </si>
  <si>
    <t>Forbrug af svovlsyre</t>
  </si>
  <si>
    <t>Svovlsyreforbug i alt per år, ton</t>
  </si>
  <si>
    <t>Kr. i alt samfund</t>
  </si>
  <si>
    <t>Kr. i alt husdyrbrug</t>
  </si>
  <si>
    <t>Værdi per ton CO2e, kr</t>
  </si>
  <si>
    <t>Værdi i alt, CO2e reduktioner, 1.000 kr per år</t>
  </si>
  <si>
    <t>Startgødning til majs</t>
  </si>
  <si>
    <t>Finansieringsomkostninger m.v.</t>
  </si>
  <si>
    <t>Forrentning af investeringen, %</t>
  </si>
  <si>
    <t>Serviceabonnement, kr per år per anlæg</t>
  </si>
  <si>
    <t>Serviceabonnement, 1.000 kr i alt per år</t>
  </si>
  <si>
    <t>Samlet finansieringsomkostning m.v., 1.000 kr. per år</t>
  </si>
  <si>
    <t>Samfundsmæssig værdi af 1 kg sparet ammoniak-N i luften, kr. per år</t>
  </si>
  <si>
    <t>Forsigtigt estimat på basis af Park et al. (2018), Fanguiero et al. (2016), samt Regieiro et al. (2019)</t>
  </si>
  <si>
    <t>Reducerede atmosfæriske deponeringer + reduceret udvaskning, tons N</t>
  </si>
  <si>
    <t>Hautakangas et al. (2014) samt Sutton et al. (2011)</t>
  </si>
  <si>
    <t>Beregnes som (35) * (36)</t>
  </si>
  <si>
    <t>Sparet behov for indkøbt kvælstofgødning, ton N</t>
  </si>
  <si>
    <t>Kg P i kunstgødning sparet per ha</t>
  </si>
  <si>
    <t>Kg P i kunstgødning sparet i alt</t>
  </si>
  <si>
    <t>Samlet besparelse på P i startgødning til majs, 1.000 kr.</t>
  </si>
  <si>
    <t>Sparet flydelag på gylletanke</t>
  </si>
  <si>
    <t>Besparelse per anlæg, 1.000 kr.</t>
  </si>
  <si>
    <t>Besparelse i alt for husdyrbrug, 1.000 kr.</t>
  </si>
  <si>
    <t>Sparet nedfældning</t>
  </si>
  <si>
    <t>Sparet nedfældning, 1.000 m3 gylle</t>
  </si>
  <si>
    <t>Sparede udbringningsomkostninger, 1.000 kr. i alt</t>
  </si>
  <si>
    <t>Foged (2017)</t>
  </si>
  <si>
    <t>Beregnet som (4)*0,2</t>
  </si>
  <si>
    <t>Ekstra strømforbrug</t>
  </si>
  <si>
    <t>Oplyst af JH Agro</t>
  </si>
  <si>
    <t>Korrektion for højere husdyrbelægning ved 30 tons gylle per ha, kg N per ha</t>
  </si>
  <si>
    <t>Gennemsnitlig markbalance, kg N per ha</t>
  </si>
  <si>
    <t>Eget estimat ud fra https://www2.mst.dk/udgiv/publikationer/1999/87-7909-217-9/html/kap06.htm#621</t>
  </si>
  <si>
    <t>https://ec.europa.eu/eurostat/statistics-explained/index.php?title=File:Gross_nitrogen_balance_on_agricultural_land,_2004-2015,_kg_N_per_ha_UAA.png</t>
  </si>
  <si>
    <t>Normal markbalance ved 30 tons gylle per ha, kg N per ha</t>
  </si>
  <si>
    <t>Normalt tab gennem ammoniakemissioner ved 30 t gylle/ha, kg N per ha</t>
  </si>
  <si>
    <t>Tab af N gennem udvaskning ved 30 tons gylle/ha, kg N per ha</t>
  </si>
  <si>
    <t>Reduceret udvaskning af N ved 30 tons forsuret gylle, kg per ha</t>
  </si>
  <si>
    <t>Forudsat gyllemængde per ha, tons</t>
  </si>
  <si>
    <t>Ekstra areal, der vil blive gødet med staldforsuret gylle, ha</t>
  </si>
  <si>
    <t>Beregnet som (31)*0,67+(39)</t>
  </si>
  <si>
    <t>Beregnet som (38)*(6)/1000</t>
  </si>
  <si>
    <t>Beregnet som (36)*(37)/100</t>
  </si>
  <si>
    <t>Beregnet som (34)-(35)</t>
  </si>
  <si>
    <t xml:space="preserve">Beregnet som (23)*0,822 kg N/ kg NH3 * 30 tons </t>
  </si>
  <si>
    <t>Beregnet som (32)+(33)</t>
  </si>
  <si>
    <t>Beregnes som (29)*(30)/100</t>
  </si>
  <si>
    <t>Beregnes som (26)*1000*0,822</t>
  </si>
  <si>
    <t>Beregnes som (26)*(27)*1000*0,822 kg N/kg NH3</t>
  </si>
  <si>
    <t>Forudsætninger som (22), men med forsuring til pH 6.0 (pH 5.5 kan ikke vælges i modellen)</t>
  </si>
  <si>
    <t>Beregnet som (4) * (16) / 1000 * 1000</t>
  </si>
  <si>
    <t>Beregnet som ((13)+(14))/100*(10)</t>
  </si>
  <si>
    <t>Beregnet som (8)*(9)</t>
  </si>
  <si>
    <t>Beregnet som (4)/(7)</t>
  </si>
  <si>
    <t>Beregnet som (29) - (31)/3 + (39)</t>
  </si>
  <si>
    <t>Beregnet som (43) * (44)</t>
  </si>
  <si>
    <t>Bergnet som (47)*(48)</t>
  </si>
  <si>
    <t>Beregnet som (4) * (46)</t>
  </si>
  <si>
    <t>Beregnet som (6)*(50)/1000</t>
  </si>
  <si>
    <t>Ekstra strømforbrug i alt, 1.000 kr.</t>
  </si>
  <si>
    <t>ALFAM2, Lund et al. (2019)</t>
  </si>
  <si>
    <t>Typisk emission af ammoniak fra mark, kg per ton pH6 forsuret gylle</t>
  </si>
  <si>
    <t>Standard forudsætning i excel model, idet TAN og tørstofprocent sættes til værdierne oplyst af Lund et al. (2019) og dosis per ha til 30 tons</t>
  </si>
  <si>
    <t>Beregnes som ((4)*(20)*(23)/100+(4)*(21)*(24)/100+(4)*((22)-(25)))/1000</t>
  </si>
  <si>
    <t>Beregnet som (51) * (52)</t>
  </si>
  <si>
    <t>Beregnet som (6)*0,062</t>
  </si>
  <si>
    <t>Beregnet som (54)*(55)</t>
  </si>
  <si>
    <t>Beregnet som (56)*(57)/1000</t>
  </si>
  <si>
    <t>Beregnet som (8)*(59)</t>
  </si>
  <si>
    <t>Klimaeffekt i alt, ton CO2e</t>
  </si>
  <si>
    <t>Staldforsurings effekt på lattergas pga. nitrifikationshæmning</t>
  </si>
  <si>
    <t>Areals med majs, der ekstra gødes med forsuret gylle, ha</t>
  </si>
  <si>
    <t>Beregnet som (4)*1000/(5)</t>
  </si>
  <si>
    <t>Beregnet som (8)*(11)/1000</t>
  </si>
  <si>
    <t>Ved en saldoafskrivnign på 7% per år svarer et gennemsnit på 2,5% til en forrentning på ca. 4% af saldoværdien</t>
  </si>
  <si>
    <t>Samlet netto reduktion af klimagasser, ton CO2e per år</t>
  </si>
  <si>
    <t>Anslået som et gennemsnit indtil 2030 ud fra markedsprisen i dag, nuværende udvikling i prisen samt forsigtig hensyntagen til Klimarådets anbefalinger</t>
  </si>
  <si>
    <t>Beregnet som (17)*(18)/1000</t>
  </si>
  <si>
    <t>Konventionel so med individuel opstaldning og delvis spaltegulv, smågris i toklimastald med delvis spaltegulv, malkeko af tung race i sengestald med spalter. Der regnes med at kvælstof udgør 82,2% af ammoniak</t>
  </si>
  <si>
    <t xml:space="preserve">Værdi af at nedbringe N-belastningen af vandmiljøet, kr./kg N </t>
  </si>
  <si>
    <t>Værdi af svovl i kunstgødning, kr. per kg S</t>
  </si>
  <si>
    <t>Sparet udgift til svovl i kunstgødning, 1.000 kr.</t>
  </si>
  <si>
    <t>Pris, kr. per kg svovlsyre</t>
  </si>
  <si>
    <t>Pris i alt for svovlsyre, 1.000 kr. per år</t>
  </si>
  <si>
    <t>Kr. per kg N i kunstgødning</t>
  </si>
  <si>
    <t>Sparet N i kunstgødning, 1.000 kr. i alt per år</t>
  </si>
  <si>
    <t xml:space="preserve">Værdi af at nedbringe N-belastningen af vandmiljøet, 1.000 kr. i alt per år </t>
  </si>
  <si>
    <t>Pris per kg P i startgødning til majs, kr.</t>
  </si>
  <si>
    <t>Sparede udbringningsomkostninger, kr. per m3 gylle</t>
  </si>
  <si>
    <t>Beregnet som (61)*(62)</t>
  </si>
  <si>
    <t>Ekstra strømforbrug, 1.000 kr. per anlæg per år</t>
  </si>
  <si>
    <t>Beregnet som (8)*(64)</t>
  </si>
  <si>
    <t xml:space="preserve">Klimaeffekt per ton ammonium, ton CO2e per ton ammonium N </t>
  </si>
  <si>
    <t>Beregnet som (67)*(68)</t>
  </si>
  <si>
    <t>Værdi per ton CO2e, kr.</t>
  </si>
  <si>
    <t>Beregnet som (69)*(70)/1000</t>
  </si>
  <si>
    <t>Beregnet som (71)/2</t>
  </si>
  <si>
    <t>Værdi i alt, korrigeret for usikker sammenhæng mellem nitrifikationshæmningens effekt og jordtyper, 1.000 kr</t>
  </si>
  <si>
    <t>Værdi i alt, 1.000 kr</t>
  </si>
  <si>
    <t>Kr. per ton gylle</t>
  </si>
  <si>
    <t>Kr. per ton CO2e</t>
  </si>
  <si>
    <t>Samlet økonomi, 1.000 kr. per år</t>
  </si>
  <si>
    <t>Kg ammonium N per ton gylle jf. Normtal</t>
  </si>
  <si>
    <t>Ton ammonium N i alt, inklusive sparet N i handelsgødning</t>
  </si>
  <si>
    <t>Beregnet som (4)*(66)+29</t>
  </si>
  <si>
    <t>Kr. per mindsket kg N udledning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</si>
</sst>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_-;\-* #,##0_-;_-* &quot;-&quot;??_-;_-@_-"/>
    <numFmt numFmtId="165" formatCode="_-* #,##0\ _k_r_._-;\-* #,##0\ _k_r_._-;_-* &quot;-&quot;?\ _k_r_._-;_-@_-"/>
    <numFmt numFmtId="166" formatCode="_-* #,##0.00\ _k_r_._-;\-* #,##0.00\ _k_r_._-;_-* &quot;-&quot;?\ _k_r_._-;_-@_-"/>
    <numFmt numFmtId="167" formatCode="_-* #,##0.000\ _k_r_._-;\-* #,##0.000\ _k_r_._-;_-* &quot;-&quot;??\ _k_r_._-;_-@_-"/>
    <numFmt numFmtId="168" formatCode="0.0"/>
    <numFmt numFmtId="169" formatCode="_-* #,##0.0_-;\-* #,##0.0_-;_-* &quot;-&quot;??_-;_-@_-"/>
    <numFmt numFmtId="170" formatCode="_-* #,##0.00\ _k_r_._-;\-* #,##0.00\ _k_r_._-;_-* &quot;-&quot;??\ _k_r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 applyFill="1"/>
    <xf numFmtId="0" fontId="0" fillId="0" borderId="0" xfId="0" applyFont="1"/>
    <xf numFmtId="165" fontId="0" fillId="0" borderId="0" xfId="0" applyNumberFormat="1" applyFont="1"/>
    <xf numFmtId="164" fontId="6" fillId="3" borderId="0" xfId="0" applyNumberFormat="1" applyFont="1" applyFill="1" applyAlignment="1">
      <alignment horizontal="center"/>
    </xf>
    <xf numFmtId="164" fontId="6" fillId="3" borderId="0" xfId="1" applyNumberFormat="1" applyFont="1" applyFill="1" applyAlignment="1">
      <alignment horizontal="center"/>
    </xf>
    <xf numFmtId="164" fontId="0" fillId="0" borderId="0" xfId="0" applyNumberFormat="1" applyFont="1"/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 wrapText="1"/>
    </xf>
    <xf numFmtId="0" fontId="0" fillId="3" borderId="0" xfId="0" applyFont="1" applyFill="1"/>
    <xf numFmtId="0" fontId="0" fillId="3" borderId="0" xfId="0" applyFont="1" applyFill="1" applyAlignment="1">
      <alignment horizontal="center"/>
    </xf>
    <xf numFmtId="164" fontId="1" fillId="3" borderId="0" xfId="1" applyNumberFormat="1" applyFont="1" applyFill="1" applyAlignment="1">
      <alignment horizontal="center" wrapText="1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164" fontId="1" fillId="0" borderId="0" xfId="1" applyNumberFormat="1" applyFont="1"/>
    <xf numFmtId="169" fontId="1" fillId="0" borderId="0" xfId="1" applyNumberFormat="1" applyFont="1"/>
    <xf numFmtId="2" fontId="0" fillId="0" borderId="0" xfId="0" applyNumberFormat="1" applyFont="1"/>
    <xf numFmtId="167" fontId="0" fillId="0" borderId="0" xfId="0" applyNumberFormat="1" applyFont="1"/>
    <xf numFmtId="1" fontId="0" fillId="0" borderId="0" xfId="0" applyNumberFormat="1" applyFont="1"/>
    <xf numFmtId="0" fontId="7" fillId="0" borderId="0" xfId="2" applyFont="1" applyAlignment="1">
      <alignment wrapText="1"/>
    </xf>
    <xf numFmtId="168" fontId="0" fillId="0" borderId="0" xfId="0" applyNumberFormat="1" applyFont="1"/>
    <xf numFmtId="166" fontId="0" fillId="0" borderId="0" xfId="0" applyNumberFormat="1" applyFont="1"/>
    <xf numFmtId="43" fontId="0" fillId="0" borderId="0" xfId="0" applyNumberFormat="1" applyFont="1"/>
    <xf numFmtId="165" fontId="0" fillId="0" borderId="0" xfId="0" applyNumberFormat="1" applyFont="1" applyAlignment="1">
      <alignment horizontal="right" vertical="center"/>
    </xf>
    <xf numFmtId="2" fontId="0" fillId="3" borderId="0" xfId="0" applyNumberFormat="1" applyFont="1" applyFill="1"/>
    <xf numFmtId="170" fontId="0" fillId="0" borderId="0" xfId="0" applyNumberFormat="1" applyFont="1" applyFill="1" applyAlignment="1">
      <alignment horizontal="center"/>
    </xf>
  </cellXfs>
  <cellStyles count="3">
    <cellStyle name="Komma" xfId="1" builtinId="3"/>
    <cellStyle name="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c.europa.eu/eurostat/statistics-explained/index.php?title=File:Gross_nitrogen_balance_on_agricultural_land,_2004-2015,_kg_N_per_ha_UAA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AEF31-23B1-460E-A2A9-B8AE56510504}">
  <dimension ref="A1:P94"/>
  <sheetViews>
    <sheetView tabSelected="1" zoomScaleNormal="100" workbookViewId="0">
      <selection activeCell="D28" sqref="D28"/>
    </sheetView>
  </sheetViews>
  <sheetFormatPr defaultRowHeight="14.5" x14ac:dyDescent="0.35"/>
  <cols>
    <col min="1" max="1" width="3.54296875" style="5" customWidth="1"/>
    <col min="2" max="2" width="55.26953125" style="5" customWidth="1"/>
    <col min="3" max="5" width="10.90625" style="5" customWidth="1"/>
    <col min="6" max="8" width="11.453125" style="5" customWidth="1"/>
    <col min="9" max="9" width="75.6328125" style="5" customWidth="1"/>
    <col min="10" max="10" width="59.1796875" style="5" customWidth="1"/>
    <col min="11" max="12" width="8.7265625" style="5"/>
    <col min="13" max="13" width="11.81640625" style="5" bestFit="1" customWidth="1"/>
    <col min="14" max="16384" width="8.7265625" style="5"/>
  </cols>
  <sheetData>
    <row r="1" spans="1:10" ht="26" x14ac:dyDescent="0.6">
      <c r="A1" s="2" t="s">
        <v>0</v>
      </c>
      <c r="H1" s="20"/>
    </row>
    <row r="2" spans="1:10" ht="19.5" customHeight="1" x14ac:dyDescent="0.45">
      <c r="A2" s="1" t="s">
        <v>10</v>
      </c>
    </row>
    <row r="3" spans="1:10" ht="29" x14ac:dyDescent="0.35">
      <c r="A3" s="10"/>
      <c r="B3" s="10"/>
      <c r="C3" s="11" t="s">
        <v>4</v>
      </c>
      <c r="D3" s="11" t="s">
        <v>3</v>
      </c>
      <c r="E3" s="11" t="s">
        <v>2</v>
      </c>
      <c r="F3" s="11" t="s">
        <v>18</v>
      </c>
      <c r="G3" s="12" t="s">
        <v>51</v>
      </c>
      <c r="H3" s="12" t="s">
        <v>52</v>
      </c>
      <c r="I3" s="11" t="s">
        <v>6</v>
      </c>
      <c r="J3" s="11" t="s">
        <v>9</v>
      </c>
    </row>
    <row r="4" spans="1:10" s="16" customFormat="1" ht="18.5" x14ac:dyDescent="0.45">
      <c r="A4" s="13"/>
      <c r="B4" s="13" t="s">
        <v>151</v>
      </c>
      <c r="C4" s="14"/>
      <c r="D4" s="14"/>
      <c r="E4" s="14"/>
      <c r="F4" s="7">
        <f>G4+H4</f>
        <v>236763.35470658191</v>
      </c>
      <c r="G4" s="15">
        <f>SUM(G9:G259)</f>
        <v>312352.80962964002</v>
      </c>
      <c r="H4" s="15">
        <f>SUM(H9:H259)</f>
        <v>-75589.454923058103</v>
      </c>
      <c r="I4" s="14"/>
      <c r="J4" s="14"/>
    </row>
    <row r="5" spans="1:10" s="16" customFormat="1" ht="18.5" x14ac:dyDescent="0.45">
      <c r="A5" s="13"/>
      <c r="B5" s="13" t="s">
        <v>150</v>
      </c>
      <c r="C5" s="14"/>
      <c r="D5" s="14"/>
      <c r="E5" s="14"/>
      <c r="F5" s="8">
        <f>F4*1000/F27</f>
        <v>1401.0375596928573</v>
      </c>
      <c r="G5" s="15">
        <f>G4*1000/F27</f>
        <v>1848.3350969116545</v>
      </c>
      <c r="H5" s="15">
        <f>H4*1000/F27</f>
        <v>-447.29753721879706</v>
      </c>
      <c r="I5" s="14"/>
      <c r="J5" s="14"/>
    </row>
    <row r="6" spans="1:10" s="16" customFormat="1" x14ac:dyDescent="0.35">
      <c r="A6" s="13"/>
      <c r="B6" s="13" t="s">
        <v>149</v>
      </c>
      <c r="C6" s="14"/>
      <c r="D6" s="14"/>
      <c r="E6" s="14"/>
      <c r="F6" s="28">
        <f t="shared" ref="F6:G6" si="0">F4/$F$12</f>
        <v>43.028011555860004</v>
      </c>
      <c r="G6" s="28">
        <f t="shared" si="0"/>
        <v>56.765204729023324</v>
      </c>
      <c r="H6" s="28">
        <f>H4/$F$12</f>
        <v>-13.737193173163321</v>
      </c>
      <c r="I6" s="14"/>
      <c r="J6" s="14"/>
    </row>
    <row r="7" spans="1:10" s="16" customFormat="1" x14ac:dyDescent="0.35">
      <c r="A7" s="13"/>
      <c r="B7" s="13" t="s">
        <v>155</v>
      </c>
      <c r="C7" s="13"/>
      <c r="D7" s="13"/>
      <c r="E7" s="13"/>
      <c r="F7" s="28">
        <f t="shared" ref="F7:G7" si="1">F4/$F$58</f>
        <v>55.950388689575718</v>
      </c>
      <c r="G7" s="28">
        <f t="shared" si="1"/>
        <v>73.813201070400169</v>
      </c>
      <c r="H7" s="28">
        <f>H4/$F$58</f>
        <v>-17.862812380824455</v>
      </c>
      <c r="I7" s="14"/>
      <c r="J7" s="14"/>
    </row>
    <row r="8" spans="1:10" s="16" customFormat="1" ht="15.5" x14ac:dyDescent="0.35">
      <c r="A8" s="4" t="s">
        <v>16</v>
      </c>
      <c r="C8" s="17"/>
      <c r="D8" s="17"/>
      <c r="E8" s="17"/>
      <c r="F8" s="17"/>
      <c r="G8" s="17"/>
      <c r="H8" s="29"/>
      <c r="I8" s="17"/>
      <c r="J8" s="17"/>
    </row>
    <row r="9" spans="1:10" x14ac:dyDescent="0.35">
      <c r="A9" s="5">
        <v>1</v>
      </c>
      <c r="B9" s="5" t="s">
        <v>1</v>
      </c>
      <c r="C9" s="5">
        <v>40</v>
      </c>
      <c r="D9" s="5">
        <v>40</v>
      </c>
      <c r="E9" s="5">
        <v>15</v>
      </c>
      <c r="I9" s="5" t="s">
        <v>8</v>
      </c>
    </row>
    <row r="10" spans="1:10" x14ac:dyDescent="0.35">
      <c r="A10" s="5">
        <v>2</v>
      </c>
      <c r="B10" s="5" t="s">
        <v>5</v>
      </c>
      <c r="C10" s="5">
        <v>32</v>
      </c>
      <c r="D10" s="5">
        <v>38</v>
      </c>
      <c r="E10" s="5">
        <v>12</v>
      </c>
      <c r="I10" s="5" t="s">
        <v>8</v>
      </c>
    </row>
    <row r="11" spans="1:10" x14ac:dyDescent="0.35">
      <c r="A11" s="5">
        <v>3</v>
      </c>
      <c r="B11" s="5" t="s">
        <v>11</v>
      </c>
      <c r="C11" s="18">
        <v>4236</v>
      </c>
      <c r="D11" s="18">
        <v>4041</v>
      </c>
      <c r="E11" s="18">
        <v>21762</v>
      </c>
      <c r="F11" s="9">
        <f>SUM(C11:E11)</f>
        <v>30039</v>
      </c>
      <c r="G11" s="18"/>
      <c r="H11" s="18"/>
      <c r="I11" s="5" t="s">
        <v>7</v>
      </c>
    </row>
    <row r="12" spans="1:10" x14ac:dyDescent="0.35">
      <c r="A12" s="5">
        <v>4</v>
      </c>
      <c r="B12" s="5" t="s">
        <v>22</v>
      </c>
      <c r="C12" s="9">
        <f>C10/100*C11</f>
        <v>1355.52</v>
      </c>
      <c r="D12" s="9">
        <f t="shared" ref="D12:E12" si="2">D10/100*D11</f>
        <v>1535.58</v>
      </c>
      <c r="E12" s="9">
        <f t="shared" si="2"/>
        <v>2611.44</v>
      </c>
      <c r="F12" s="9">
        <f>SUM(C12:E12)</f>
        <v>5502.54</v>
      </c>
      <c r="G12" s="9"/>
      <c r="J12" s="5" t="s">
        <v>12</v>
      </c>
    </row>
    <row r="13" spans="1:10" x14ac:dyDescent="0.35">
      <c r="A13" s="5">
        <f>A12+1</f>
        <v>5</v>
      </c>
      <c r="B13" s="5" t="s">
        <v>88</v>
      </c>
      <c r="C13" s="5">
        <v>30</v>
      </c>
      <c r="D13" s="5">
        <v>30</v>
      </c>
      <c r="E13" s="5">
        <v>30</v>
      </c>
      <c r="F13" s="9"/>
      <c r="G13" s="9"/>
    </row>
    <row r="14" spans="1:10" x14ac:dyDescent="0.35">
      <c r="A14" s="5">
        <f>A13+1</f>
        <v>6</v>
      </c>
      <c r="B14" s="5" t="s">
        <v>89</v>
      </c>
      <c r="C14" s="9">
        <f>C12*1000/C13</f>
        <v>45184</v>
      </c>
      <c r="D14" s="9">
        <f t="shared" ref="D14:E14" si="3">D12*1000/D13</f>
        <v>51186</v>
      </c>
      <c r="E14" s="9">
        <f t="shared" si="3"/>
        <v>87048</v>
      </c>
      <c r="F14" s="9">
        <f>SUM(C14:E14)</f>
        <v>183418</v>
      </c>
      <c r="G14" s="9"/>
      <c r="J14" s="5" t="s">
        <v>122</v>
      </c>
    </row>
    <row r="15" spans="1:10" x14ac:dyDescent="0.35">
      <c r="A15" s="3" t="s">
        <v>56</v>
      </c>
      <c r="C15" s="9"/>
      <c r="D15" s="9"/>
      <c r="E15" s="9"/>
      <c r="F15" s="9"/>
      <c r="G15" s="9"/>
      <c r="H15" s="9"/>
    </row>
    <row r="16" spans="1:10" x14ac:dyDescent="0.35">
      <c r="A16" s="5">
        <f>A14+1</f>
        <v>7</v>
      </c>
      <c r="B16" s="5" t="s">
        <v>13</v>
      </c>
      <c r="C16" s="5">
        <v>9.6999999999999993</v>
      </c>
      <c r="D16" s="5">
        <v>12.4</v>
      </c>
      <c r="E16" s="5">
        <v>5.0999999999999996</v>
      </c>
      <c r="I16" s="5" t="s">
        <v>38</v>
      </c>
    </row>
    <row r="17" spans="1:10" x14ac:dyDescent="0.35">
      <c r="A17" s="5">
        <f>A16+1</f>
        <v>8</v>
      </c>
      <c r="B17" s="5" t="s">
        <v>14</v>
      </c>
      <c r="C17" s="9">
        <f>C12/C16</f>
        <v>139.74432989690723</v>
      </c>
      <c r="D17" s="9">
        <f t="shared" ref="D17:E17" si="4">D12/D16</f>
        <v>123.83709677419354</v>
      </c>
      <c r="E17" s="9">
        <f t="shared" si="4"/>
        <v>512.04705882352948</v>
      </c>
      <c r="F17" s="9">
        <f>SUM(C17:E17)</f>
        <v>775.62848549463024</v>
      </c>
      <c r="G17" s="9"/>
      <c r="J17" s="5" t="s">
        <v>103</v>
      </c>
    </row>
    <row r="18" spans="1:10" x14ac:dyDescent="0.35">
      <c r="A18" s="5">
        <f>A17+1</f>
        <v>9</v>
      </c>
      <c r="B18" s="5" t="s">
        <v>15</v>
      </c>
      <c r="C18" s="18">
        <f>1373</f>
        <v>1373</v>
      </c>
      <c r="D18" s="18">
        <f>1373</f>
        <v>1373</v>
      </c>
      <c r="E18" s="18">
        <v>662</v>
      </c>
      <c r="F18" s="18"/>
      <c r="G18" s="18"/>
      <c r="H18" s="18"/>
      <c r="I18" s="5" t="s">
        <v>38</v>
      </c>
    </row>
    <row r="19" spans="1:10" x14ac:dyDescent="0.35">
      <c r="A19" s="5">
        <f t="shared" ref="A19:A24" si="5">A18+1</f>
        <v>10</v>
      </c>
      <c r="B19" s="5" t="s">
        <v>17</v>
      </c>
      <c r="C19" s="18">
        <f>C17*C18</f>
        <v>191868.96494845362</v>
      </c>
      <c r="D19" s="18">
        <f t="shared" ref="D19:E19" si="6">D17*D18</f>
        <v>170028.33387096773</v>
      </c>
      <c r="E19" s="18">
        <f t="shared" si="6"/>
        <v>338975.15294117649</v>
      </c>
      <c r="F19" s="9">
        <f>SUM(C19:E19)</f>
        <v>700872.45176059776</v>
      </c>
      <c r="G19" s="18"/>
      <c r="J19" s="5" t="s">
        <v>102</v>
      </c>
    </row>
    <row r="20" spans="1:10" x14ac:dyDescent="0.35">
      <c r="A20" s="5">
        <f t="shared" si="5"/>
        <v>11</v>
      </c>
      <c r="B20" s="5" t="s">
        <v>58</v>
      </c>
      <c r="C20" s="18">
        <v>15000</v>
      </c>
      <c r="D20" s="18">
        <v>15000</v>
      </c>
      <c r="E20" s="18">
        <v>10000</v>
      </c>
      <c r="I20" s="5" t="s">
        <v>79</v>
      </c>
    </row>
    <row r="21" spans="1:10" x14ac:dyDescent="0.35">
      <c r="A21" s="5">
        <f t="shared" si="5"/>
        <v>12</v>
      </c>
      <c r="B21" s="5" t="s">
        <v>59</v>
      </c>
      <c r="C21" s="18">
        <f>C20*C17/1000</f>
        <v>2096.1649484536083</v>
      </c>
      <c r="D21" s="18">
        <f t="shared" ref="D21:E21" si="7">D20*D17/1000</f>
        <v>1857.5564516129029</v>
      </c>
      <c r="E21" s="18">
        <f t="shared" si="7"/>
        <v>5120.4705882352946</v>
      </c>
      <c r="H21" s="9">
        <f>-SUM(C21:E21)</f>
        <v>-9074.1919883018054</v>
      </c>
      <c r="J21" s="5" t="s">
        <v>123</v>
      </c>
    </row>
    <row r="22" spans="1:10" x14ac:dyDescent="0.35">
      <c r="A22" s="5">
        <f t="shared" si="5"/>
        <v>13</v>
      </c>
      <c r="B22" s="5" t="s">
        <v>19</v>
      </c>
      <c r="C22" s="18">
        <v>7</v>
      </c>
      <c r="D22" s="18">
        <v>7</v>
      </c>
      <c r="E22" s="18">
        <v>7</v>
      </c>
      <c r="F22" s="18"/>
      <c r="G22" s="18"/>
      <c r="I22" s="5" t="s">
        <v>38</v>
      </c>
    </row>
    <row r="23" spans="1:10" x14ac:dyDescent="0.35">
      <c r="A23" s="5">
        <f t="shared" si="5"/>
        <v>14</v>
      </c>
      <c r="B23" s="5" t="s">
        <v>57</v>
      </c>
      <c r="C23" s="19">
        <v>2.5</v>
      </c>
      <c r="D23" s="19">
        <v>2.5</v>
      </c>
      <c r="E23" s="19">
        <v>2.5</v>
      </c>
      <c r="F23" s="18"/>
      <c r="G23" s="18"/>
      <c r="J23" s="5" t="s">
        <v>124</v>
      </c>
    </row>
    <row r="24" spans="1:10" x14ac:dyDescent="0.35">
      <c r="A24" s="5">
        <f t="shared" si="5"/>
        <v>15</v>
      </c>
      <c r="B24" s="5" t="s">
        <v>60</v>
      </c>
      <c r="C24" s="9">
        <f>SUM(C22:C23)/100*C19</f>
        <v>18227.551670103094</v>
      </c>
      <c r="D24" s="9">
        <f t="shared" ref="D24:E24" si="8">SUM(D22:D23)/100*D19</f>
        <v>16152.691717741935</v>
      </c>
      <c r="E24" s="9">
        <f t="shared" si="8"/>
        <v>32202.639529411768</v>
      </c>
      <c r="F24" s="9"/>
      <c r="G24" s="9"/>
      <c r="H24" s="9">
        <f>-SUM(C24:E24)</f>
        <v>-66582.882917256793</v>
      </c>
      <c r="J24" s="5" t="s">
        <v>101</v>
      </c>
    </row>
    <row r="25" spans="1:10" x14ac:dyDescent="0.35">
      <c r="A25" s="3" t="s">
        <v>20</v>
      </c>
    </row>
    <row r="26" spans="1:10" x14ac:dyDescent="0.35">
      <c r="A26" s="5">
        <f>A24+1</f>
        <v>16</v>
      </c>
      <c r="B26" s="5" t="s">
        <v>21</v>
      </c>
      <c r="C26" s="5">
        <v>44</v>
      </c>
      <c r="D26" s="5">
        <v>44</v>
      </c>
      <c r="E26" s="5">
        <v>16</v>
      </c>
      <c r="I26" s="5" t="s">
        <v>7</v>
      </c>
    </row>
    <row r="27" spans="1:10" x14ac:dyDescent="0.35">
      <c r="A27" s="5">
        <f>A26+1</f>
        <v>17</v>
      </c>
      <c r="B27" s="5" t="s">
        <v>125</v>
      </c>
      <c r="C27" s="18">
        <f>C26*C12/1000*1000</f>
        <v>59642.879999999997</v>
      </c>
      <c r="D27" s="9">
        <f t="shared" ref="D27:E27" si="9">D26*D12/1000*1000</f>
        <v>67565.51999999999</v>
      </c>
      <c r="E27" s="9">
        <f t="shared" si="9"/>
        <v>41783.040000000001</v>
      </c>
      <c r="F27" s="9">
        <f>SUM(C27:E27)</f>
        <v>168991.44</v>
      </c>
      <c r="J27" s="5" t="s">
        <v>100</v>
      </c>
    </row>
    <row r="28" spans="1:10" x14ac:dyDescent="0.35">
      <c r="A28" s="5">
        <f>A27+1</f>
        <v>18</v>
      </c>
      <c r="B28" s="5" t="s">
        <v>53</v>
      </c>
      <c r="C28" s="18">
        <v>469</v>
      </c>
      <c r="D28" s="9">
        <f>C28</f>
        <v>469</v>
      </c>
      <c r="E28" s="9">
        <f>C28</f>
        <v>469</v>
      </c>
      <c r="F28" s="9"/>
      <c r="J28" s="5" t="s">
        <v>126</v>
      </c>
    </row>
    <row r="29" spans="1:10" x14ac:dyDescent="0.35">
      <c r="A29" s="5">
        <f>A28+1</f>
        <v>19</v>
      </c>
      <c r="B29" s="5" t="s">
        <v>54</v>
      </c>
      <c r="C29" s="18">
        <f>C28*C27/1000</f>
        <v>27972.510719999998</v>
      </c>
      <c r="D29" s="18">
        <f t="shared" ref="D29:E29" si="10">D28*D27/1000</f>
        <v>31688.228879999995</v>
      </c>
      <c r="E29" s="18">
        <f t="shared" si="10"/>
        <v>19596.245760000002</v>
      </c>
      <c r="F29" s="9"/>
      <c r="G29" s="9">
        <f>SUM(C29:E29)</f>
        <v>79256.985359999991</v>
      </c>
      <c r="J29" s="5" t="s">
        <v>127</v>
      </c>
    </row>
    <row r="30" spans="1:10" x14ac:dyDescent="0.35">
      <c r="A30" s="3" t="s">
        <v>23</v>
      </c>
    </row>
    <row r="31" spans="1:10" x14ac:dyDescent="0.35">
      <c r="A31" s="5">
        <f>A29+1</f>
        <v>20</v>
      </c>
      <c r="B31" s="5" t="s">
        <v>25</v>
      </c>
      <c r="C31" s="20">
        <f>1.59/4.01/0.822</f>
        <v>0.48237071554689925</v>
      </c>
      <c r="D31" s="20">
        <f>0.03/0.134/0.822</f>
        <v>0.27236082361913061</v>
      </c>
      <c r="E31" s="20">
        <f>9.8/31.71/0.822</f>
        <v>0.3759741759451723</v>
      </c>
      <c r="F31" s="20"/>
      <c r="G31" s="20"/>
      <c r="I31" s="5" t="s">
        <v>24</v>
      </c>
      <c r="J31" s="5" t="s">
        <v>128</v>
      </c>
    </row>
    <row r="32" spans="1:10" x14ac:dyDescent="0.35">
      <c r="A32" s="5">
        <f>A31+1</f>
        <v>21</v>
      </c>
      <c r="B32" s="5" t="s">
        <v>26</v>
      </c>
      <c r="C32" s="20">
        <f>0.27/4.01/0.822</f>
        <v>8.1912008300416866E-2</v>
      </c>
      <c r="D32" s="20">
        <f>0.01/0.134/0.822</f>
        <v>9.078694120637687E-2</v>
      </c>
      <c r="E32" s="20">
        <f>2.14/31.71/0.822</f>
        <v>8.2100483318639658E-2</v>
      </c>
      <c r="F32" s="20"/>
      <c r="G32" s="20"/>
      <c r="I32" s="5" t="s">
        <v>24</v>
      </c>
    </row>
    <row r="33" spans="1:10" x14ac:dyDescent="0.35">
      <c r="A33" s="5">
        <f t="shared" ref="A33:A37" si="11">A32+1</f>
        <v>22</v>
      </c>
      <c r="B33" s="5" t="s">
        <v>27</v>
      </c>
      <c r="C33" s="20">
        <f>14.7/30/0.822</f>
        <v>0.59610705596107061</v>
      </c>
      <c r="D33" s="20">
        <f>14/30/0.822</f>
        <v>0.56772100567721007</v>
      </c>
      <c r="E33" s="20">
        <f>19.5/30/0.822</f>
        <v>0.79075425790754261</v>
      </c>
      <c r="F33" s="20"/>
      <c r="G33" s="20"/>
      <c r="I33" s="5" t="s">
        <v>110</v>
      </c>
      <c r="J33" s="5" t="s">
        <v>112</v>
      </c>
    </row>
    <row r="34" spans="1:10" x14ac:dyDescent="0.35">
      <c r="A34" s="5">
        <f t="shared" si="11"/>
        <v>23</v>
      </c>
      <c r="B34" s="5" t="s">
        <v>28</v>
      </c>
      <c r="C34" s="5">
        <v>64</v>
      </c>
      <c r="D34" s="5">
        <v>64</v>
      </c>
      <c r="E34" s="5">
        <v>50</v>
      </c>
      <c r="I34" s="5" t="s">
        <v>30</v>
      </c>
    </row>
    <row r="35" spans="1:10" x14ac:dyDescent="0.35">
      <c r="A35" s="5">
        <f t="shared" si="11"/>
        <v>24</v>
      </c>
      <c r="B35" s="5" t="s">
        <v>29</v>
      </c>
      <c r="C35" s="5">
        <v>50</v>
      </c>
      <c r="D35" s="5">
        <v>50</v>
      </c>
      <c r="E35" s="5">
        <v>50</v>
      </c>
      <c r="I35" s="5" t="s">
        <v>30</v>
      </c>
      <c r="J35" s="5" t="s">
        <v>31</v>
      </c>
    </row>
    <row r="36" spans="1:10" x14ac:dyDescent="0.35">
      <c r="A36" s="5">
        <f t="shared" si="11"/>
        <v>25</v>
      </c>
      <c r="B36" s="5" t="s">
        <v>111</v>
      </c>
      <c r="C36" s="20">
        <f>4.9/30/0.822</f>
        <v>0.19870235198702357</v>
      </c>
      <c r="D36" s="20">
        <f>4.5/30/0.822</f>
        <v>0.18248175182481752</v>
      </c>
      <c r="E36" s="20">
        <f>5.6/30/0.822</f>
        <v>0.227088402270884</v>
      </c>
      <c r="I36" s="5" t="s">
        <v>110</v>
      </c>
      <c r="J36" s="5" t="s">
        <v>99</v>
      </c>
    </row>
    <row r="37" spans="1:10" x14ac:dyDescent="0.35">
      <c r="A37" s="5">
        <f t="shared" si="11"/>
        <v>26</v>
      </c>
      <c r="B37" s="5" t="s">
        <v>32</v>
      </c>
      <c r="C37" s="21">
        <f>(C12*C31*C34/100+C12*C32*C35/100+C12*(C33-C36))/1000</f>
        <v>1.0126791245729958</v>
      </c>
      <c r="D37" s="21">
        <f t="shared" ref="D37:E37" si="12">(D12*D31*D34/100+D12*D32*D35/100+D12*(D33-D36))/1000</f>
        <v>0.92893937248066227</v>
      </c>
      <c r="E37" s="21">
        <f t="shared" si="12"/>
        <v>2.0700968061377401</v>
      </c>
      <c r="F37" s="21">
        <f>SUM(C37:E37)</f>
        <v>4.0117153031913979</v>
      </c>
      <c r="J37" s="5" t="s">
        <v>113</v>
      </c>
    </row>
    <row r="38" spans="1:10" x14ac:dyDescent="0.35">
      <c r="A38" s="3" t="s">
        <v>34</v>
      </c>
      <c r="C38" s="20"/>
      <c r="D38" s="20"/>
      <c r="E38" s="20"/>
    </row>
    <row r="39" spans="1:10" x14ac:dyDescent="0.35">
      <c r="A39" s="5">
        <f>A37+1</f>
        <v>27</v>
      </c>
      <c r="B39" s="5" t="s">
        <v>61</v>
      </c>
      <c r="C39" s="5">
        <v>58</v>
      </c>
      <c r="D39" s="5">
        <v>58</v>
      </c>
      <c r="E39" s="5">
        <v>58</v>
      </c>
      <c r="I39" s="5" t="s">
        <v>38</v>
      </c>
    </row>
    <row r="40" spans="1:10" x14ac:dyDescent="0.35">
      <c r="A40" s="5">
        <f>A39+1</f>
        <v>28</v>
      </c>
      <c r="B40" s="5" t="s">
        <v>36</v>
      </c>
      <c r="C40" s="27">
        <f>C39*C37*1000*0.822</f>
        <v>48280.489943142151</v>
      </c>
      <c r="D40" s="27">
        <f t="shared" ref="D40:E40" si="13">D39*D37*1000*0.822</f>
        <v>44288.113522388056</v>
      </c>
      <c r="E40" s="27">
        <f t="shared" si="13"/>
        <v>98693.935329422893</v>
      </c>
      <c r="F40" s="6"/>
      <c r="G40" s="9">
        <f>SUM(C40:E40)</f>
        <v>191262.53879495309</v>
      </c>
      <c r="J40" s="5" t="s">
        <v>98</v>
      </c>
    </row>
    <row r="41" spans="1:10" x14ac:dyDescent="0.35">
      <c r="A41" s="3" t="s">
        <v>33</v>
      </c>
    </row>
    <row r="42" spans="1:10" x14ac:dyDescent="0.35">
      <c r="A42" s="5">
        <f>A40+1</f>
        <v>29</v>
      </c>
      <c r="B42" s="5" t="s">
        <v>35</v>
      </c>
      <c r="C42" s="6">
        <f>C37*1000*0.822</f>
        <v>832.42224039900248</v>
      </c>
      <c r="D42" s="6">
        <f>D37*1000*0.822</f>
        <v>763.58816417910441</v>
      </c>
      <c r="E42" s="6">
        <f>E37*1000*0.822</f>
        <v>1701.6195746452224</v>
      </c>
      <c r="F42" s="9">
        <f>SUM(C42:E42)</f>
        <v>3297.6299792233294</v>
      </c>
      <c r="J42" s="5" t="s">
        <v>97</v>
      </c>
    </row>
    <row r="43" spans="1:10" x14ac:dyDescent="0.35">
      <c r="A43" s="5">
        <f>A42+1</f>
        <v>30</v>
      </c>
      <c r="B43" s="5" t="s">
        <v>40</v>
      </c>
      <c r="C43" s="5">
        <v>40</v>
      </c>
      <c r="D43" s="5">
        <v>40</v>
      </c>
      <c r="E43" s="5">
        <v>40</v>
      </c>
      <c r="I43" s="5" t="s">
        <v>39</v>
      </c>
    </row>
    <row r="44" spans="1:10" x14ac:dyDescent="0.35">
      <c r="A44" s="5">
        <f>A43+1</f>
        <v>31</v>
      </c>
      <c r="B44" s="5" t="s">
        <v>41</v>
      </c>
      <c r="C44" s="6">
        <f>C43/100*C42</f>
        <v>332.968896159601</v>
      </c>
      <c r="D44" s="6">
        <f>D43/100*D42</f>
        <v>305.43526567164179</v>
      </c>
      <c r="E44" s="6">
        <f>E43/100*E42</f>
        <v>680.64782985808904</v>
      </c>
      <c r="F44" s="9">
        <f>SUM(C44:E44)</f>
        <v>1319.0519916893318</v>
      </c>
      <c r="J44" s="5" t="s">
        <v>96</v>
      </c>
    </row>
    <row r="45" spans="1:10" x14ac:dyDescent="0.35">
      <c r="A45" s="3" t="s">
        <v>42</v>
      </c>
    </row>
    <row r="46" spans="1:10" ht="43.5" x14ac:dyDescent="0.35">
      <c r="A46" s="5">
        <f>A44+1</f>
        <v>32</v>
      </c>
      <c r="B46" s="5" t="s">
        <v>81</v>
      </c>
      <c r="C46" s="22">
        <v>80</v>
      </c>
      <c r="D46" s="22">
        <v>80</v>
      </c>
      <c r="E46" s="22">
        <v>80</v>
      </c>
      <c r="F46" s="20"/>
      <c r="G46" s="20"/>
      <c r="I46" s="23" t="s">
        <v>83</v>
      </c>
    </row>
    <row r="47" spans="1:10" x14ac:dyDescent="0.35">
      <c r="A47" s="5">
        <f>A46+1</f>
        <v>33</v>
      </c>
      <c r="B47" s="5" t="s">
        <v>80</v>
      </c>
      <c r="C47" s="22">
        <v>20</v>
      </c>
      <c r="D47" s="22">
        <v>20</v>
      </c>
      <c r="E47" s="22">
        <v>20</v>
      </c>
      <c r="F47" s="20"/>
      <c r="G47" s="20"/>
      <c r="J47" s="5" t="s">
        <v>82</v>
      </c>
    </row>
    <row r="48" spans="1:10" x14ac:dyDescent="0.35">
      <c r="A48" s="5">
        <f t="shared" ref="A48:A51" si="14">A47+1</f>
        <v>34</v>
      </c>
      <c r="B48" s="5" t="s">
        <v>84</v>
      </c>
      <c r="C48" s="22">
        <f>C47+C46</f>
        <v>100</v>
      </c>
      <c r="D48" s="22">
        <f t="shared" ref="D48:E48" si="15">D47+D46</f>
        <v>100</v>
      </c>
      <c r="E48" s="22">
        <f t="shared" si="15"/>
        <v>100</v>
      </c>
      <c r="F48" s="20"/>
      <c r="G48" s="20"/>
      <c r="J48" s="5" t="s">
        <v>95</v>
      </c>
    </row>
    <row r="49" spans="1:10" x14ac:dyDescent="0.35">
      <c r="A49" s="5">
        <f t="shared" si="14"/>
        <v>35</v>
      </c>
      <c r="B49" s="5" t="s">
        <v>85</v>
      </c>
      <c r="C49" s="24">
        <f>C33*0.822*30</f>
        <v>14.7</v>
      </c>
      <c r="D49" s="24">
        <f t="shared" ref="D49:E49" si="16">D33*0.822*30</f>
        <v>14</v>
      </c>
      <c r="E49" s="24">
        <f t="shared" si="16"/>
        <v>19.5</v>
      </c>
      <c r="F49" s="20"/>
      <c r="G49" s="20"/>
      <c r="J49" s="5" t="s">
        <v>94</v>
      </c>
    </row>
    <row r="50" spans="1:10" x14ac:dyDescent="0.35">
      <c r="A50" s="5">
        <f t="shared" si="14"/>
        <v>36</v>
      </c>
      <c r="B50" s="5" t="s">
        <v>86</v>
      </c>
      <c r="C50" s="24">
        <f>C48-C49</f>
        <v>85.3</v>
      </c>
      <c r="D50" s="24">
        <f t="shared" ref="D50:E50" si="17">D48-D49</f>
        <v>86</v>
      </c>
      <c r="E50" s="24">
        <f t="shared" si="17"/>
        <v>80.5</v>
      </c>
      <c r="F50" s="20"/>
      <c r="G50" s="20"/>
      <c r="J50" s="5" t="s">
        <v>93</v>
      </c>
    </row>
    <row r="51" spans="1:10" x14ac:dyDescent="0.35">
      <c r="A51" s="5">
        <f t="shared" si="14"/>
        <v>37</v>
      </c>
      <c r="B51" s="5" t="s">
        <v>43</v>
      </c>
      <c r="C51" s="22">
        <v>9</v>
      </c>
      <c r="D51" s="22">
        <v>9</v>
      </c>
      <c r="E51" s="22">
        <v>9</v>
      </c>
      <c r="J51" s="5" t="s">
        <v>62</v>
      </c>
    </row>
    <row r="52" spans="1:10" x14ac:dyDescent="0.35">
      <c r="A52" s="5">
        <f>A51+1</f>
        <v>38</v>
      </c>
      <c r="B52" s="5" t="s">
        <v>87</v>
      </c>
      <c r="C52" s="24">
        <f>C51/100*C50</f>
        <v>7.6769999999999996</v>
      </c>
      <c r="D52" s="24">
        <f t="shared" ref="D52:E52" si="18">D51/100*D50</f>
        <v>7.7399999999999993</v>
      </c>
      <c r="E52" s="24">
        <f t="shared" si="18"/>
        <v>7.2450000000000001</v>
      </c>
      <c r="J52" s="5" t="s">
        <v>92</v>
      </c>
    </row>
    <row r="53" spans="1:10" x14ac:dyDescent="0.35">
      <c r="A53" s="5">
        <f t="shared" ref="A53:A56" si="19">A52+1</f>
        <v>39</v>
      </c>
      <c r="B53" s="5" t="s">
        <v>44</v>
      </c>
      <c r="C53" s="22">
        <f>C52*C14/1000</f>
        <v>346.877568</v>
      </c>
      <c r="D53" s="22">
        <f t="shared" ref="D53:E53" si="20">D52*D14/1000</f>
        <v>396.17963999999995</v>
      </c>
      <c r="E53" s="22">
        <f t="shared" si="20"/>
        <v>630.66276000000005</v>
      </c>
      <c r="F53" s="9">
        <f>SUM(C53:E53)</f>
        <v>1373.7199679999999</v>
      </c>
      <c r="J53" s="5" t="s">
        <v>91</v>
      </c>
    </row>
    <row r="54" spans="1:10" x14ac:dyDescent="0.35">
      <c r="A54" s="5">
        <f t="shared" si="19"/>
        <v>40</v>
      </c>
      <c r="B54" s="5" t="s">
        <v>63</v>
      </c>
      <c r="C54" s="18">
        <f>C53+C44*0.67</f>
        <v>569.96672842693272</v>
      </c>
      <c r="D54" s="18">
        <f t="shared" ref="D54:E54" si="21">D53+D44*0.67</f>
        <v>600.82126799999992</v>
      </c>
      <c r="E54" s="18">
        <f t="shared" si="21"/>
        <v>1086.6968060049198</v>
      </c>
      <c r="F54" s="9">
        <f>SUM(C54:E54)</f>
        <v>2257.4848024318526</v>
      </c>
      <c r="J54" s="5" t="s">
        <v>90</v>
      </c>
    </row>
    <row r="55" spans="1:10" x14ac:dyDescent="0.35">
      <c r="A55" s="5">
        <f t="shared" si="19"/>
        <v>41</v>
      </c>
      <c r="B55" s="5" t="s">
        <v>129</v>
      </c>
      <c r="C55" s="5">
        <v>15</v>
      </c>
      <c r="D55" s="5">
        <v>15</v>
      </c>
      <c r="E55" s="5">
        <v>15</v>
      </c>
      <c r="I55" s="5" t="s">
        <v>64</v>
      </c>
    </row>
    <row r="56" spans="1:10" x14ac:dyDescent="0.35">
      <c r="A56" s="5">
        <f t="shared" si="19"/>
        <v>42</v>
      </c>
      <c r="B56" s="5" t="s">
        <v>136</v>
      </c>
      <c r="C56" s="6">
        <f>C55*C54</f>
        <v>8549.5009264039909</v>
      </c>
      <c r="D56" s="6">
        <f t="shared" ref="D56:E56" si="22">D55*D54</f>
        <v>9012.319019999999</v>
      </c>
      <c r="E56" s="6">
        <f t="shared" si="22"/>
        <v>16300.452090073797</v>
      </c>
      <c r="F56" s="6"/>
      <c r="G56" s="9">
        <f>SUM(C56:E56)</f>
        <v>33862.272036477785</v>
      </c>
      <c r="J56" s="5" t="s">
        <v>65</v>
      </c>
    </row>
    <row r="57" spans="1:10" x14ac:dyDescent="0.35">
      <c r="A57" s="3" t="s">
        <v>45</v>
      </c>
    </row>
    <row r="58" spans="1:10" x14ac:dyDescent="0.35">
      <c r="A58" s="5">
        <f>A56+1</f>
        <v>43</v>
      </c>
      <c r="B58" s="5" t="s">
        <v>66</v>
      </c>
      <c r="C58" s="6">
        <f>C42+C53-C44/3</f>
        <v>1068.3101763458021</v>
      </c>
      <c r="D58" s="6">
        <f>D42+D53-D44/3</f>
        <v>1057.9560489552237</v>
      </c>
      <c r="E58" s="6">
        <f>E42+E53-E44/3</f>
        <v>2105.399724692526</v>
      </c>
      <c r="F58" s="9">
        <f>SUM(C58:E58)</f>
        <v>4231.6659499935522</v>
      </c>
      <c r="G58" s="6"/>
      <c r="J58" s="5" t="s">
        <v>104</v>
      </c>
    </row>
    <row r="59" spans="1:10" x14ac:dyDescent="0.35">
      <c r="A59" s="5">
        <f>A58+1</f>
        <v>44</v>
      </c>
      <c r="B59" s="5" t="s">
        <v>134</v>
      </c>
      <c r="C59" s="20">
        <v>7</v>
      </c>
      <c r="D59" s="20">
        <v>7</v>
      </c>
      <c r="E59" s="20">
        <v>7</v>
      </c>
      <c r="I59" s="5" t="s">
        <v>38</v>
      </c>
    </row>
    <row r="60" spans="1:10" x14ac:dyDescent="0.35">
      <c r="A60" s="5">
        <f>A59+1</f>
        <v>45</v>
      </c>
      <c r="B60" s="5" t="s">
        <v>135</v>
      </c>
      <c r="C60" s="6">
        <f>C59*C58</f>
        <v>7478.1712344206153</v>
      </c>
      <c r="D60" s="6">
        <f t="shared" ref="D60:E60" si="23">D59*D58</f>
        <v>7405.6923426865651</v>
      </c>
      <c r="E60" s="6">
        <f t="shared" si="23"/>
        <v>14737.798072847681</v>
      </c>
      <c r="G60" s="6"/>
      <c r="H60" s="9">
        <f>SUM(C60:E60)</f>
        <v>29621.661649954862</v>
      </c>
      <c r="J60" s="5" t="s">
        <v>105</v>
      </c>
    </row>
    <row r="61" spans="1:10" x14ac:dyDescent="0.35">
      <c r="A61" s="3" t="s">
        <v>49</v>
      </c>
      <c r="C61" s="6"/>
      <c r="D61" s="6"/>
      <c r="E61" s="6"/>
      <c r="F61" s="6"/>
      <c r="G61" s="6"/>
      <c r="H61" s="9"/>
    </row>
    <row r="62" spans="1:10" x14ac:dyDescent="0.35">
      <c r="A62" s="5">
        <f>A60+1</f>
        <v>46</v>
      </c>
      <c r="B62" s="5" t="s">
        <v>37</v>
      </c>
      <c r="C62" s="5">
        <v>9.6</v>
      </c>
      <c r="D62" s="5">
        <v>8.6999999999999993</v>
      </c>
      <c r="E62" s="5">
        <v>5.7</v>
      </c>
      <c r="I62" s="5" t="s">
        <v>38</v>
      </c>
    </row>
    <row r="63" spans="1:10" x14ac:dyDescent="0.35">
      <c r="A63" s="5">
        <f>A62+1</f>
        <v>47</v>
      </c>
      <c r="B63" s="5" t="s">
        <v>50</v>
      </c>
      <c r="C63" s="6">
        <f>C62*C12</f>
        <v>13012.992</v>
      </c>
      <c r="D63" s="6">
        <f>D62*D12</f>
        <v>13359.545999999998</v>
      </c>
      <c r="E63" s="6">
        <f>E62*E12</f>
        <v>14885.208000000001</v>
      </c>
      <c r="F63" s="9">
        <f>SUM(C63:E63)</f>
        <v>41257.745999999999</v>
      </c>
      <c r="G63" s="6"/>
      <c r="J63" s="5" t="s">
        <v>107</v>
      </c>
    </row>
    <row r="64" spans="1:10" x14ac:dyDescent="0.35">
      <c r="A64" s="5">
        <f>A63+1</f>
        <v>48</v>
      </c>
      <c r="B64" s="5" t="s">
        <v>132</v>
      </c>
      <c r="C64" s="25">
        <v>1.1000000000000001</v>
      </c>
      <c r="D64" s="25">
        <v>1.1000000000000001</v>
      </c>
      <c r="E64" s="25">
        <v>1.1000000000000001</v>
      </c>
      <c r="F64" s="6"/>
      <c r="G64" s="25"/>
      <c r="H64" s="9"/>
      <c r="I64" s="5" t="s">
        <v>38</v>
      </c>
    </row>
    <row r="65" spans="1:16" x14ac:dyDescent="0.35">
      <c r="A65" s="5">
        <f>A64+1</f>
        <v>49</v>
      </c>
      <c r="B65" s="5" t="s">
        <v>133</v>
      </c>
      <c r="C65" s="6">
        <f>C64*C63</f>
        <v>14314.291200000001</v>
      </c>
      <c r="D65" s="6">
        <f t="shared" ref="D65:E65" si="24">D64*D63</f>
        <v>14695.500599999999</v>
      </c>
      <c r="E65" s="6">
        <f t="shared" si="24"/>
        <v>16373.728800000003</v>
      </c>
      <c r="F65" s="6"/>
      <c r="G65" s="6"/>
      <c r="H65" s="9">
        <f>-SUM(C65:E65)</f>
        <v>-45383.520600000003</v>
      </c>
      <c r="J65" s="5" t="s">
        <v>106</v>
      </c>
    </row>
    <row r="66" spans="1:16" x14ac:dyDescent="0.35">
      <c r="A66" s="3" t="s">
        <v>46</v>
      </c>
    </row>
    <row r="67" spans="1:16" x14ac:dyDescent="0.35">
      <c r="A67" s="5">
        <f>A65+1</f>
        <v>50</v>
      </c>
      <c r="B67" s="5" t="s">
        <v>47</v>
      </c>
      <c r="C67" s="5">
        <v>22</v>
      </c>
      <c r="D67" s="5">
        <v>22</v>
      </c>
      <c r="E67" s="5">
        <v>22</v>
      </c>
      <c r="I67" s="5" t="s">
        <v>38</v>
      </c>
    </row>
    <row r="68" spans="1:16" x14ac:dyDescent="0.35">
      <c r="A68" s="5">
        <f t="shared" ref="A68:A70" si="25">A67+1</f>
        <v>51</v>
      </c>
      <c r="B68" s="5" t="s">
        <v>48</v>
      </c>
      <c r="C68" s="9">
        <f>C67*C14/1000</f>
        <v>994.048</v>
      </c>
      <c r="D68" s="9">
        <f t="shared" ref="D68:E68" si="26">D67*D14/1000</f>
        <v>1126.0920000000001</v>
      </c>
      <c r="E68" s="9">
        <f t="shared" si="26"/>
        <v>1915.056</v>
      </c>
      <c r="F68" s="9">
        <f>SUM(C68:E68)</f>
        <v>4035.1960000000004</v>
      </c>
      <c r="G68" s="9"/>
      <c r="J68" s="5" t="s">
        <v>108</v>
      </c>
    </row>
    <row r="69" spans="1:16" x14ac:dyDescent="0.35">
      <c r="A69" s="5">
        <f t="shared" si="25"/>
        <v>52</v>
      </c>
      <c r="B69" s="5" t="s">
        <v>130</v>
      </c>
      <c r="C69" s="5">
        <v>2.5</v>
      </c>
      <c r="D69" s="5">
        <v>2.5</v>
      </c>
      <c r="E69" s="5">
        <v>2.5</v>
      </c>
      <c r="I69" s="5" t="s">
        <v>38</v>
      </c>
    </row>
    <row r="70" spans="1:16" x14ac:dyDescent="0.35">
      <c r="A70" s="5">
        <f t="shared" si="25"/>
        <v>53</v>
      </c>
      <c r="B70" s="5" t="s">
        <v>131</v>
      </c>
      <c r="C70" s="9">
        <f>C69*C68</f>
        <v>2485.12</v>
      </c>
      <c r="D70" s="9">
        <f t="shared" ref="D70:E70" si="27">D69*D68</f>
        <v>2815.2300000000005</v>
      </c>
      <c r="E70" s="9">
        <f t="shared" si="27"/>
        <v>4787.6400000000003</v>
      </c>
      <c r="F70" s="9"/>
      <c r="G70" s="9"/>
      <c r="H70" s="9">
        <f>SUM(C70:E70)</f>
        <v>10087.990000000002</v>
      </c>
      <c r="J70" s="5" t="s">
        <v>114</v>
      </c>
    </row>
    <row r="71" spans="1:16" x14ac:dyDescent="0.35">
      <c r="A71" s="3" t="s">
        <v>55</v>
      </c>
    </row>
    <row r="72" spans="1:16" x14ac:dyDescent="0.35">
      <c r="A72" s="5">
        <f>A70+1</f>
        <v>54</v>
      </c>
      <c r="B72" s="5" t="s">
        <v>121</v>
      </c>
      <c r="C72" s="9">
        <f>C14*0.062</f>
        <v>2801.4079999999999</v>
      </c>
      <c r="D72" s="9">
        <f>D14*0.062</f>
        <v>3173.5320000000002</v>
      </c>
      <c r="E72" s="9">
        <f>E14*0.062</f>
        <v>5396.9759999999997</v>
      </c>
      <c r="F72" s="9">
        <f>SUM(C72:E72)</f>
        <v>11371.916000000001</v>
      </c>
      <c r="J72" s="5" t="s">
        <v>115</v>
      </c>
    </row>
    <row r="73" spans="1:16" x14ac:dyDescent="0.35">
      <c r="A73" s="5">
        <f>A72+1</f>
        <v>55</v>
      </c>
      <c r="B73" s="5" t="s">
        <v>67</v>
      </c>
      <c r="C73" s="5">
        <v>10</v>
      </c>
      <c r="D73" s="5">
        <v>10</v>
      </c>
      <c r="E73" s="5">
        <v>10</v>
      </c>
    </row>
    <row r="74" spans="1:16" x14ac:dyDescent="0.35">
      <c r="A74" s="5">
        <f>A73+1</f>
        <v>56</v>
      </c>
      <c r="B74" s="5" t="s">
        <v>68</v>
      </c>
      <c r="C74" s="9">
        <f>C73*C72</f>
        <v>28014.079999999998</v>
      </c>
      <c r="D74" s="9">
        <f>D73*D72</f>
        <v>31735.32</v>
      </c>
      <c r="E74" s="9">
        <f>E73*E72</f>
        <v>53969.759999999995</v>
      </c>
      <c r="F74" s="9">
        <f>SUM(C74:E74)</f>
        <v>113719.15999999999</v>
      </c>
      <c r="J74" s="5" t="s">
        <v>116</v>
      </c>
    </row>
    <row r="75" spans="1:16" x14ac:dyDescent="0.35">
      <c r="A75" s="5">
        <f t="shared" ref="A75:A76" si="28">A74+1</f>
        <v>57</v>
      </c>
      <c r="B75" s="5" t="s">
        <v>137</v>
      </c>
      <c r="C75" s="5">
        <v>10</v>
      </c>
      <c r="D75" s="5">
        <v>10</v>
      </c>
      <c r="E75" s="5">
        <v>10</v>
      </c>
    </row>
    <row r="76" spans="1:16" x14ac:dyDescent="0.35">
      <c r="A76" s="5">
        <f t="shared" si="28"/>
        <v>58</v>
      </c>
      <c r="B76" s="5" t="s">
        <v>69</v>
      </c>
      <c r="C76" s="9">
        <f>C75*C74/1000</f>
        <v>280.14080000000001</v>
      </c>
      <c r="D76" s="9">
        <f>D75*D74/1000</f>
        <v>317.35320000000002</v>
      </c>
      <c r="E76" s="9">
        <f>E75*E74/1000</f>
        <v>539.69759999999997</v>
      </c>
      <c r="F76" s="9">
        <f>SUM(C76:E76)</f>
        <v>1137.1916000000001</v>
      </c>
      <c r="H76" s="9">
        <f>F76</f>
        <v>1137.1916000000001</v>
      </c>
      <c r="J76" s="5" t="s">
        <v>117</v>
      </c>
    </row>
    <row r="77" spans="1:16" x14ac:dyDescent="0.35">
      <c r="A77" s="3" t="s">
        <v>70</v>
      </c>
    </row>
    <row r="78" spans="1:16" x14ac:dyDescent="0.35">
      <c r="A78" s="5">
        <f>A76+1</f>
        <v>59</v>
      </c>
      <c r="B78" s="5" t="s">
        <v>71</v>
      </c>
      <c r="C78" s="5">
        <v>15.2</v>
      </c>
      <c r="D78" s="5">
        <v>20.399999999999999</v>
      </c>
      <c r="E78" s="5">
        <v>0</v>
      </c>
      <c r="I78" s="5" t="s">
        <v>38</v>
      </c>
    </row>
    <row r="79" spans="1:16" x14ac:dyDescent="0.35">
      <c r="A79" s="5">
        <f>A78+1</f>
        <v>60</v>
      </c>
      <c r="B79" s="5" t="s">
        <v>72</v>
      </c>
      <c r="C79" s="9">
        <f>C78*C17</f>
        <v>2124.1138144329898</v>
      </c>
      <c r="D79" s="9">
        <f>D78*D17</f>
        <v>2526.2767741935481</v>
      </c>
      <c r="E79" s="9">
        <f>E78*E17</f>
        <v>0</v>
      </c>
      <c r="F79" s="9">
        <f>SUM(C79:E79)</f>
        <v>4650.3905886265384</v>
      </c>
      <c r="H79" s="9">
        <f>F79</f>
        <v>4650.3905886265384</v>
      </c>
      <c r="J79" s="5" t="s">
        <v>118</v>
      </c>
      <c r="P79" s="9"/>
    </row>
    <row r="80" spans="1:16" x14ac:dyDescent="0.35">
      <c r="A80" s="3" t="s">
        <v>73</v>
      </c>
    </row>
    <row r="81" spans="1:16" x14ac:dyDescent="0.35">
      <c r="A81" s="5">
        <f>A79+1</f>
        <v>61</v>
      </c>
      <c r="B81" s="5" t="s">
        <v>74</v>
      </c>
      <c r="C81" s="9">
        <f>C12*0.2</f>
        <v>271.10399999999998</v>
      </c>
      <c r="D81" s="9">
        <f>D12*0.2</f>
        <v>307.11599999999999</v>
      </c>
      <c r="E81" s="9">
        <f>E12*0.2</f>
        <v>522.28800000000001</v>
      </c>
      <c r="F81" s="9">
        <f>SUM(C81:E81)</f>
        <v>1100.508</v>
      </c>
      <c r="J81" s="5" t="s">
        <v>77</v>
      </c>
      <c r="P81" s="26"/>
    </row>
    <row r="82" spans="1:16" x14ac:dyDescent="0.35">
      <c r="A82" s="5">
        <f>A81+1</f>
        <v>62</v>
      </c>
      <c r="B82" s="5" t="s">
        <v>138</v>
      </c>
      <c r="C82" s="20">
        <v>3.7</v>
      </c>
      <c r="D82" s="20">
        <v>3.7</v>
      </c>
      <c r="E82" s="20">
        <v>3.7</v>
      </c>
      <c r="I82" s="5" t="s">
        <v>76</v>
      </c>
    </row>
    <row r="83" spans="1:16" x14ac:dyDescent="0.35">
      <c r="A83" s="5">
        <f>A82+1</f>
        <v>63</v>
      </c>
      <c r="B83" s="5" t="s">
        <v>75</v>
      </c>
      <c r="C83" s="9">
        <f>C82*C81</f>
        <v>1003.0848</v>
      </c>
      <c r="D83" s="9">
        <f t="shared" ref="D83:E83" si="29">D82*D81</f>
        <v>1136.3291999999999</v>
      </c>
      <c r="E83" s="9">
        <f t="shared" si="29"/>
        <v>1932.4656000000002</v>
      </c>
      <c r="F83" s="9">
        <f>SUM(C83:E83)</f>
        <v>4071.8796000000002</v>
      </c>
      <c r="H83" s="9">
        <f>F83</f>
        <v>4071.8796000000002</v>
      </c>
      <c r="J83" s="5" t="s">
        <v>139</v>
      </c>
    </row>
    <row r="84" spans="1:16" x14ac:dyDescent="0.35">
      <c r="A84" s="3" t="s">
        <v>78</v>
      </c>
    </row>
    <row r="85" spans="1:16" x14ac:dyDescent="0.35">
      <c r="A85" s="5">
        <f>A83+1</f>
        <v>64</v>
      </c>
      <c r="B85" s="5" t="s">
        <v>140</v>
      </c>
      <c r="C85" s="5">
        <v>11.4</v>
      </c>
      <c r="D85" s="5">
        <v>14.6</v>
      </c>
      <c r="E85" s="5">
        <v>1.4</v>
      </c>
      <c r="F85" s="9">
        <f>SUM(C85:E85)</f>
        <v>27.4</v>
      </c>
      <c r="H85" s="9"/>
      <c r="I85" s="5" t="s">
        <v>38</v>
      </c>
    </row>
    <row r="86" spans="1:16" x14ac:dyDescent="0.35">
      <c r="A86" s="5">
        <f>A85+1</f>
        <v>65</v>
      </c>
      <c r="B86" s="5" t="s">
        <v>109</v>
      </c>
      <c r="C86" s="9">
        <f>C85*C17</f>
        <v>1593.0853608247426</v>
      </c>
      <c r="D86" s="9">
        <f>D85*D17</f>
        <v>1808.0216129032256</v>
      </c>
      <c r="E86" s="9">
        <f>E85*E17</f>
        <v>716.86588235294118</v>
      </c>
      <c r="F86" s="9">
        <f>SUM(C86:E86)</f>
        <v>4117.972856080909</v>
      </c>
      <c r="H86" s="9">
        <f>-F86</f>
        <v>-4117.972856080909</v>
      </c>
      <c r="J86" s="5" t="s">
        <v>141</v>
      </c>
    </row>
    <row r="87" spans="1:16" x14ac:dyDescent="0.35">
      <c r="A87" s="3" t="s">
        <v>120</v>
      </c>
    </row>
    <row r="88" spans="1:16" x14ac:dyDescent="0.35">
      <c r="A88" s="5">
        <f>A86+1</f>
        <v>66</v>
      </c>
      <c r="B88" s="5" t="s">
        <v>152</v>
      </c>
      <c r="C88" s="5">
        <v>2.77</v>
      </c>
      <c r="D88" s="5">
        <v>2.5</v>
      </c>
      <c r="E88" s="5">
        <v>2.79</v>
      </c>
      <c r="I88" s="5" t="s">
        <v>24</v>
      </c>
    </row>
    <row r="89" spans="1:16" x14ac:dyDescent="0.35">
      <c r="A89" s="5">
        <f>A88+1</f>
        <v>67</v>
      </c>
      <c r="B89" s="5" t="s">
        <v>153</v>
      </c>
      <c r="C89" s="9">
        <f>C88*C12+C42</f>
        <v>4587.2126403990023</v>
      </c>
      <c r="D89" s="9">
        <f t="shared" ref="D89:E89" si="30">D88*D12+D42</f>
        <v>4602.5381641791046</v>
      </c>
      <c r="E89" s="9">
        <f t="shared" si="30"/>
        <v>8987.5371746452238</v>
      </c>
      <c r="F89" s="9">
        <f>SUM(C89:E89)</f>
        <v>18177.287979223329</v>
      </c>
      <c r="J89" s="5" t="s">
        <v>154</v>
      </c>
    </row>
    <row r="90" spans="1:16" x14ac:dyDescent="0.35">
      <c r="A90" s="5">
        <f t="shared" ref="A90:A94" si="31">A89+1</f>
        <v>68</v>
      </c>
      <c r="B90" s="5" t="s">
        <v>142</v>
      </c>
      <c r="C90" s="5">
        <v>1.87</v>
      </c>
      <c r="D90" s="5">
        <v>1.87</v>
      </c>
      <c r="E90" s="5">
        <v>1.87</v>
      </c>
      <c r="I90" s="5" t="s">
        <v>7</v>
      </c>
    </row>
    <row r="91" spans="1:16" x14ac:dyDescent="0.35">
      <c r="A91" s="5">
        <f t="shared" si="31"/>
        <v>69</v>
      </c>
      <c r="B91" s="5" t="s">
        <v>119</v>
      </c>
      <c r="C91" s="9">
        <f>C90*C89</f>
        <v>8578.0876375461357</v>
      </c>
      <c r="D91" s="9">
        <f t="shared" ref="D91:E91" si="32">D90*D89</f>
        <v>8606.7463670149264</v>
      </c>
      <c r="E91" s="9">
        <f t="shared" si="32"/>
        <v>16806.694516586569</v>
      </c>
      <c r="F91" s="9">
        <f>SUM(C91:E91)</f>
        <v>33991.528521147629</v>
      </c>
      <c r="G91" s="9"/>
      <c r="J91" s="5" t="s">
        <v>143</v>
      </c>
    </row>
    <row r="92" spans="1:16" x14ac:dyDescent="0.35">
      <c r="A92" s="5">
        <f t="shared" si="31"/>
        <v>70</v>
      </c>
      <c r="B92" s="5" t="s">
        <v>144</v>
      </c>
      <c r="C92" s="9">
        <f>C28</f>
        <v>469</v>
      </c>
      <c r="D92" s="9">
        <f>C28</f>
        <v>469</v>
      </c>
      <c r="E92" s="9">
        <f>C28</f>
        <v>469</v>
      </c>
      <c r="J92" s="5" t="s">
        <v>62</v>
      </c>
    </row>
    <row r="93" spans="1:16" x14ac:dyDescent="0.35">
      <c r="A93" s="5">
        <f t="shared" si="31"/>
        <v>71</v>
      </c>
      <c r="B93" s="5" t="s">
        <v>148</v>
      </c>
      <c r="C93" s="9">
        <f>C92*C91/1000</f>
        <v>4023.1231020091377</v>
      </c>
      <c r="D93" s="9">
        <f t="shared" ref="D93:E93" si="33">D92*D91/1000</f>
        <v>4036.5640461300004</v>
      </c>
      <c r="E93" s="9">
        <f t="shared" si="33"/>
        <v>7882.3397282791011</v>
      </c>
      <c r="F93" s="9">
        <f>SUM(C93:E93)</f>
        <v>15942.02687641824</v>
      </c>
      <c r="G93" s="9"/>
      <c r="J93" s="5" t="s">
        <v>145</v>
      </c>
    </row>
    <row r="94" spans="1:16" x14ac:dyDescent="0.35">
      <c r="A94" s="5">
        <f t="shared" si="31"/>
        <v>72</v>
      </c>
      <c r="B94" s="5" t="s">
        <v>147</v>
      </c>
      <c r="C94" s="9">
        <f>C93/2</f>
        <v>2011.5615510045689</v>
      </c>
      <c r="D94" s="9">
        <f t="shared" ref="D94:E94" si="34">D93/2</f>
        <v>2018.2820230650002</v>
      </c>
      <c r="E94" s="9">
        <f t="shared" si="34"/>
        <v>3941.1698641395506</v>
      </c>
      <c r="G94" s="9">
        <f>SUM(C94:E94)</f>
        <v>7971.0134382091201</v>
      </c>
      <c r="J94" s="5" t="s">
        <v>146</v>
      </c>
    </row>
  </sheetData>
  <hyperlinks>
    <hyperlink ref="I46" r:id="rId1" xr:uid="{7C6FC149-EC39-4780-B21E-DF9D9512F986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Lyngsø Foged</dc:creator>
  <cp:lastModifiedBy>Henning Lyngsø Foged</cp:lastModifiedBy>
  <dcterms:created xsi:type="dcterms:W3CDTF">2020-05-31T15:38:00Z</dcterms:created>
  <dcterms:modified xsi:type="dcterms:W3CDTF">2020-12-18T10:46:54Z</dcterms:modified>
</cp:coreProperties>
</file>